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8.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7.xml" ContentType="application/vnd.openxmlformats-officedocument.spreadsheetml.comments+xml"/>
  <Override PartName="/xl/comments13.xml" ContentType="application/vnd.openxmlformats-officedocument.spreadsheetml.comments+xml"/>
  <Override PartName="/xl/comments12.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0.xml" ContentType="application/vnd.openxmlformats-officedocument.spreadsheetml.comments+xml"/>
  <Override PartName="/xl/comments15.xml" ContentType="application/vnd.openxmlformats-officedocument.spreadsheetml.comments+xml"/>
  <Override PartName="/xl/comments14.xml" ContentType="application/vnd.openxmlformats-officedocument.spreadsheetml.comments+xml"/>
  <Override PartName="/xl/comments1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ento_zošit"/>
  <mc:AlternateContent xmlns:mc="http://schemas.openxmlformats.org/markup-compatibility/2006">
    <mc:Choice Requires="x15">
      <x15ac:absPath xmlns:x15ac="http://schemas.microsoft.com/office/spreadsheetml/2010/11/ac" url="C:\Users\vlado\Documents\03 STORYLAND\OP Slovensko 2021 2027\UGKK SR\objednavka pre Mareka\Vystupy\02 DMR\MANAZERSKE PRODUKTY\"/>
    </mc:Choice>
  </mc:AlternateContent>
  <xr:revisionPtr revIDLastSave="0" documentId="13_ncr:1_{20072F76-EE8F-4634-BB38-04DD8E222BA0}" xr6:coauthVersionLast="47" xr6:coauthVersionMax="47" xr10:uidLastSave="{00000000-0000-0000-0000-000000000000}"/>
  <bookViews>
    <workbookView xWindow="-120" yWindow="-120" windowWidth="51840" windowHeight="21120" tabRatio="737" firstSheet="2" activeTab="7" xr2:uid="{00000000-000D-0000-FFFF-FFFF00000000}"/>
  </bookViews>
  <sheets>
    <sheet name="Úvod" sheetId="5" r:id="rId1"/>
    <sheet name="Zoznam_Harkov" sheetId="40" r:id="rId2"/>
    <sheet name="Sumarizácia" sheetId="20" r:id="rId3"/>
    <sheet name="Zdroje Financovania" sheetId="39" r:id="rId4"/>
    <sheet name="CBA - Agendové IS" sheetId="2" r:id="rId5"/>
    <sheet name="Výdavky - Agendové IS" sheetId="6" r:id="rId6"/>
    <sheet name="Prínosy - Agendové IS" sheetId="4" r:id="rId7"/>
    <sheet name="Parametre - Agendové IS" sheetId="3" r:id="rId8"/>
    <sheet name="MODULY_CBA" sheetId="32" r:id="rId9"/>
    <sheet name="Parametre_ECF_TCF" sheetId="43" state="hidden" r:id="rId10"/>
    <sheet name="INKREMENTY" sheetId="36" r:id="rId11"/>
    <sheet name="KATALOG_POZIADAVKY" sheetId="30" r:id="rId12"/>
    <sheet name="TCF_v02" sheetId="33" r:id="rId13"/>
    <sheet name="ECF_v02" sheetId="34" r:id="rId14"/>
    <sheet name="UAW_v02" sheetId="35" r:id="rId15"/>
    <sheet name="EXTERNE_POZICIE" sheetId="29" r:id="rId16"/>
    <sheet name="POZICIE_INTERNE" sheetId="37" r:id="rId17"/>
    <sheet name="Rozpocet - Vyvoj aplikacii" sheetId="26" r:id="rId18"/>
    <sheet name="ISCO_Prevodnik" sheetId="44" state="hidden" r:id="rId19"/>
    <sheet name="Rozpočet - HW a licencie" sheetId="27" r:id="rId20"/>
    <sheet name="Harmonogram" sheetId="28" r:id="rId21"/>
    <sheet name="TCO" sheetId="11" r:id="rId22"/>
    <sheet name="TCO AS IS - SW" sheetId="17" r:id="rId23"/>
    <sheet name="TCO AS IS - HW" sheetId="18" r:id="rId24"/>
    <sheet name="TCO TO BE- SW" sheetId="9" r:id="rId25"/>
    <sheet name="TCO TO BE - HW" sheetId="10" r:id="rId26"/>
    <sheet name="Faktory" sheetId="1" r:id="rId27"/>
    <sheet name="Ciselnik" sheetId="38" state="hidden" r:id="rId28"/>
    <sheet name="Procesné mapy" sheetId="22" r:id="rId29"/>
    <sheet name="Procesy - AS IS" sheetId="23" r:id="rId30"/>
    <sheet name="Procesy - TO BE" sheetId="24" r:id="rId31"/>
    <sheet name="Analyza citlivosti - AgendovéIS" sheetId="7" r:id="rId32"/>
    <sheet name="Rozdelenie prínosov" sheetId="14" state="hidden" r:id="rId33"/>
  </sheets>
  <externalReferences>
    <externalReference r:id="rId34"/>
  </externalReferences>
  <definedNames>
    <definedName name="_xlnm._FilterDatabase" localSheetId="11" hidden="1">KATALOG_POZIADAVKY!$A$2:$AE$298</definedName>
    <definedName name="_xlnm._FilterDatabase" localSheetId="17" hidden="1">'Rozpocet - Vyvoj aplikacii'!$B$2:$L$65</definedName>
    <definedName name="_xlnm._FilterDatabase" localSheetId="19" hidden="1">'Rozpočet - HW a licencie'!$A$2:$J$44</definedName>
    <definedName name="_ftn1" localSheetId="25">'TCO TO BE - HW'!$AB$81</definedName>
    <definedName name="_ftnref1" localSheetId="25">'TCO TO BE - HW'!$AB$76</definedName>
    <definedName name="Bezpecnost">ISCO_Prevodnik!$J$2:$J$3</definedName>
    <definedName name="Databazy">ISCO_Prevodnik!$H$2:$H$3</definedName>
    <definedName name="Faza" localSheetId="16">POZICIE_INTERNE!$A$4:$A$7</definedName>
    <definedName name="Faza">EXTERNE_POZICIE!$A$4:$A$7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MODULY_CBA!$B$3:$B$23</definedName>
    <definedName name="Moduly_2">MODULY_CBA!$B$3:$B$21</definedName>
    <definedName name="PF">[1]CISELNIK!$A$2:$A$6</definedName>
    <definedName name="Poziadavky">[1]CISELNIK!$B$2:$B$4</definedName>
    <definedName name="Pozicia" localSheetId="16">POZICIE_INTERNE!$M$4:$M$27</definedName>
    <definedName name="Pozicia">EXTERNE_POZICIE!$Q$4:$Q$15</definedName>
    <definedName name="PozicieKomplet">EXTERNE_POZICIE!$Q$4:$Q$27</definedName>
    <definedName name="Projektovy_manazer">ISCO_Prevodnik!$A$2</definedName>
    <definedName name="Projektový_manažér">ISCO_Prevodnik!$A$2</definedName>
    <definedName name="Subjekt">Ciselnik!$A$2:$A$9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3" l="1"/>
  <c r="E44" i="3"/>
  <c r="D43" i="3"/>
  <c r="E43" i="3"/>
  <c r="D42" i="3"/>
  <c r="E42" i="3"/>
  <c r="D41" i="3"/>
  <c r="E41" i="3"/>
  <c r="D40" i="3"/>
  <c r="E40" i="3"/>
  <c r="D39" i="3"/>
  <c r="E39" i="3"/>
  <c r="D38" i="3"/>
  <c r="E38" i="3"/>
  <c r="D37" i="3"/>
  <c r="E37" i="3"/>
  <c r="D36" i="3"/>
  <c r="E36" i="3"/>
  <c r="F36" i="3"/>
  <c r="D35" i="3"/>
  <c r="E35" i="3"/>
  <c r="F35" i="3"/>
  <c r="G4" i="37"/>
  <c r="Q20" i="37"/>
  <c r="R20" i="37"/>
  <c r="H4" i="37"/>
  <c r="I4" i="37"/>
  <c r="G5" i="37"/>
  <c r="H5" i="37"/>
  <c r="I5" i="37"/>
  <c r="G6" i="37"/>
  <c r="H6" i="37"/>
  <c r="I6" i="37"/>
  <c r="G7" i="37"/>
  <c r="H7" i="37"/>
  <c r="I7" i="37"/>
  <c r="G15" i="37"/>
  <c r="H15" i="37"/>
  <c r="I15" i="37"/>
  <c r="G14" i="37"/>
  <c r="H14" i="37"/>
  <c r="I14" i="37"/>
  <c r="G13" i="37"/>
  <c r="H13" i="37"/>
  <c r="I13" i="37"/>
  <c r="G12" i="37"/>
  <c r="H12" i="37"/>
  <c r="I12" i="37"/>
  <c r="G11" i="37"/>
  <c r="H11" i="37"/>
  <c r="I11" i="37"/>
  <c r="G10" i="37"/>
  <c r="H10" i="37"/>
  <c r="I10" i="37"/>
  <c r="G9" i="37"/>
  <c r="H9" i="37"/>
  <c r="I9" i="37"/>
  <c r="G8" i="37"/>
  <c r="H8" i="37"/>
  <c r="I8" i="37"/>
  <c r="C4" i="37"/>
  <c r="D4" i="37"/>
  <c r="G3" i="26"/>
  <c r="G16" i="37"/>
  <c r="H16" i="37"/>
  <c r="I16" i="37"/>
  <c r="G17" i="37"/>
  <c r="H17" i="37"/>
  <c r="I17" i="37"/>
  <c r="G18" i="37"/>
  <c r="H18" i="37"/>
  <c r="I18" i="37"/>
  <c r="G19" i="37"/>
  <c r="H19" i="37"/>
  <c r="I19" i="37"/>
  <c r="G27" i="37"/>
  <c r="H27" i="37"/>
  <c r="I27" i="37"/>
  <c r="G26" i="37"/>
  <c r="H26" i="37"/>
  <c r="I26" i="37"/>
  <c r="G25" i="37"/>
  <c r="H25" i="37"/>
  <c r="I25" i="37"/>
  <c r="G24" i="37"/>
  <c r="H24" i="37"/>
  <c r="I24" i="37"/>
  <c r="G23" i="37"/>
  <c r="H23" i="37"/>
  <c r="I23" i="37"/>
  <c r="G22" i="37"/>
  <c r="H22" i="37"/>
  <c r="I22" i="37"/>
  <c r="G21" i="37"/>
  <c r="H21" i="37"/>
  <c r="I21" i="37"/>
  <c r="G20" i="37"/>
  <c r="H20" i="37"/>
  <c r="I20" i="37"/>
  <c r="C16" i="37"/>
  <c r="D16" i="37"/>
  <c r="G4" i="26"/>
  <c r="G28" i="37"/>
  <c r="H28" i="37"/>
  <c r="I28" i="37"/>
  <c r="G29" i="37"/>
  <c r="H29" i="37"/>
  <c r="I29" i="37"/>
  <c r="G30" i="37"/>
  <c r="H30" i="37"/>
  <c r="I30" i="37"/>
  <c r="G31" i="37"/>
  <c r="H31" i="37"/>
  <c r="I31" i="37"/>
  <c r="G39" i="37"/>
  <c r="H39" i="37"/>
  <c r="I39" i="37"/>
  <c r="G38" i="37"/>
  <c r="H38" i="37"/>
  <c r="I38" i="37"/>
  <c r="G37" i="37"/>
  <c r="H37" i="37"/>
  <c r="I37" i="37"/>
  <c r="G36" i="37"/>
  <c r="H36" i="37"/>
  <c r="I36" i="37"/>
  <c r="G35" i="37"/>
  <c r="H35" i="37"/>
  <c r="I35" i="37"/>
  <c r="G34" i="37"/>
  <c r="H34" i="37"/>
  <c r="I34" i="37"/>
  <c r="G33" i="37"/>
  <c r="H33" i="37"/>
  <c r="I33" i="37"/>
  <c r="G32" i="37"/>
  <c r="H32" i="37"/>
  <c r="I32" i="37"/>
  <c r="C28" i="37"/>
  <c r="D28" i="37"/>
  <c r="G5" i="26"/>
  <c r="G6" i="26"/>
  <c r="G62" i="26"/>
  <c r="G61" i="26"/>
  <c r="G60" i="26"/>
  <c r="G59" i="26"/>
  <c r="G58" i="26"/>
  <c r="G57" i="26"/>
  <c r="G56" i="26"/>
  <c r="G55" i="26"/>
  <c r="G54" i="26"/>
  <c r="G53" i="26"/>
  <c r="G52" i="26"/>
  <c r="G51" i="26"/>
  <c r="G50" i="26"/>
  <c r="G49" i="26"/>
  <c r="G48" i="26"/>
  <c r="G47" i="26"/>
  <c r="G46" i="26"/>
  <c r="G45" i="26"/>
  <c r="G44" i="26"/>
  <c r="G43" i="26"/>
  <c r="G42" i="26"/>
  <c r="G41" i="26"/>
  <c r="G40" i="26"/>
  <c r="G39" i="26"/>
  <c r="G38" i="26"/>
  <c r="G37" i="26"/>
  <c r="G36" i="26"/>
  <c r="G35" i="26"/>
  <c r="G34" i="26"/>
  <c r="G33" i="26"/>
  <c r="G32" i="26"/>
  <c r="G31" i="26"/>
  <c r="G30" i="26"/>
  <c r="G29" i="26"/>
  <c r="G28" i="26"/>
  <c r="G27" i="26"/>
  <c r="G26" i="26"/>
  <c r="G25" i="26"/>
  <c r="G24" i="26"/>
  <c r="G23" i="26"/>
  <c r="G22" i="26"/>
  <c r="G21" i="26"/>
  <c r="G20" i="26"/>
  <c r="G19" i="26"/>
  <c r="G18" i="26"/>
  <c r="G17" i="26"/>
  <c r="G16" i="26"/>
  <c r="G15" i="26"/>
  <c r="G14" i="26"/>
  <c r="G13" i="26"/>
  <c r="G12" i="26"/>
  <c r="G11" i="26"/>
  <c r="G10" i="26"/>
  <c r="G9" i="26"/>
  <c r="G8" i="26"/>
  <c r="G7" i="26"/>
  <c r="E3" i="32"/>
  <c r="L3" i="30"/>
  <c r="O3" i="30" s="1"/>
  <c r="P3" i="30" s="1"/>
  <c r="M3" i="30"/>
  <c r="N3" i="30"/>
  <c r="L4" i="30"/>
  <c r="O4" i="30" s="1"/>
  <c r="P4" i="30" s="1"/>
  <c r="M4" i="30"/>
  <c r="N4" i="30"/>
  <c r="L5" i="30"/>
  <c r="O5" i="30" s="1"/>
  <c r="P5" i="30" s="1"/>
  <c r="M5" i="30"/>
  <c r="N5" i="30"/>
  <c r="L6" i="30"/>
  <c r="O6" i="30" s="1"/>
  <c r="P6" i="30" s="1"/>
  <c r="M6" i="30"/>
  <c r="N6" i="30"/>
  <c r="L298" i="30"/>
  <c r="O298" i="30" s="1"/>
  <c r="P298" i="30" s="1"/>
  <c r="M298" i="30"/>
  <c r="N298" i="30"/>
  <c r="K298" i="30"/>
  <c r="L297" i="30"/>
  <c r="O297" i="30" s="1"/>
  <c r="P297" i="30" s="1"/>
  <c r="M297" i="30"/>
  <c r="N297" i="30"/>
  <c r="K297" i="30"/>
  <c r="L296" i="30"/>
  <c r="M296" i="30"/>
  <c r="N296" i="30"/>
  <c r="K296" i="30"/>
  <c r="O296" i="30"/>
  <c r="P296" i="30" s="1"/>
  <c r="L295" i="30"/>
  <c r="M295" i="30"/>
  <c r="N295" i="30"/>
  <c r="K295" i="30"/>
  <c r="O295" i="30"/>
  <c r="P295" i="30" s="1"/>
  <c r="L294" i="30"/>
  <c r="O294" i="30" s="1"/>
  <c r="P294" i="30" s="1"/>
  <c r="M294" i="30"/>
  <c r="N294" i="30"/>
  <c r="K294" i="30"/>
  <c r="L293" i="30"/>
  <c r="M293" i="30"/>
  <c r="N293" i="30"/>
  <c r="K293" i="30"/>
  <c r="O293" i="30"/>
  <c r="P293" i="30"/>
  <c r="L292" i="30"/>
  <c r="M292" i="30"/>
  <c r="N292" i="30"/>
  <c r="K292" i="30"/>
  <c r="O292" i="30"/>
  <c r="P292" i="30"/>
  <c r="L291" i="30"/>
  <c r="M291" i="30"/>
  <c r="N291" i="30"/>
  <c r="K291" i="30"/>
  <c r="O291" i="30"/>
  <c r="P291" i="30"/>
  <c r="L290" i="30"/>
  <c r="M290" i="30"/>
  <c r="N290" i="30"/>
  <c r="K290" i="30"/>
  <c r="O290" i="30"/>
  <c r="P290" i="30"/>
  <c r="L289" i="30"/>
  <c r="M289" i="30"/>
  <c r="N289" i="30"/>
  <c r="K289" i="30"/>
  <c r="O289" i="30"/>
  <c r="P289" i="30" s="1"/>
  <c r="L288" i="30"/>
  <c r="O288" i="30" s="1"/>
  <c r="P288" i="30" s="1"/>
  <c r="M288" i="30"/>
  <c r="N288" i="30"/>
  <c r="K288" i="30"/>
  <c r="L287" i="30"/>
  <c r="O287" i="30" s="1"/>
  <c r="P287" i="30" s="1"/>
  <c r="M287" i="30"/>
  <c r="N287" i="30"/>
  <c r="K287" i="30"/>
  <c r="L286" i="30"/>
  <c r="O286" i="30" s="1"/>
  <c r="P286" i="30" s="1"/>
  <c r="M286" i="30"/>
  <c r="N286" i="30"/>
  <c r="K286" i="30"/>
  <c r="L285" i="30"/>
  <c r="M285" i="30"/>
  <c r="N285" i="30"/>
  <c r="K285" i="30"/>
  <c r="O285" i="30"/>
  <c r="P285" i="30"/>
  <c r="L284" i="30"/>
  <c r="M284" i="30"/>
  <c r="N284" i="30"/>
  <c r="K284" i="30"/>
  <c r="O284" i="30"/>
  <c r="P284" i="30"/>
  <c r="L283" i="30"/>
  <c r="M283" i="30"/>
  <c r="N283" i="30"/>
  <c r="K283" i="30"/>
  <c r="O283" i="30"/>
  <c r="P283" i="30"/>
  <c r="L282" i="30"/>
  <c r="M282" i="30"/>
  <c r="N282" i="30"/>
  <c r="K282" i="30"/>
  <c r="O282" i="30"/>
  <c r="P282" i="30" s="1"/>
  <c r="L281" i="30"/>
  <c r="M281" i="30"/>
  <c r="N281" i="30"/>
  <c r="K281" i="30"/>
  <c r="O281" i="30"/>
  <c r="P281" i="30" s="1"/>
  <c r="L280" i="30"/>
  <c r="M280" i="30"/>
  <c r="N280" i="30"/>
  <c r="K280" i="30"/>
  <c r="O280" i="30"/>
  <c r="P280" i="30"/>
  <c r="L279" i="30"/>
  <c r="O279" i="30" s="1"/>
  <c r="P279" i="30" s="1"/>
  <c r="M279" i="30"/>
  <c r="N279" i="30"/>
  <c r="K279" i="30"/>
  <c r="L278" i="30"/>
  <c r="O278" i="30" s="1"/>
  <c r="P278" i="30" s="1"/>
  <c r="M278" i="30"/>
  <c r="N278" i="30"/>
  <c r="K278" i="30"/>
  <c r="L277" i="30"/>
  <c r="O277" i="30" s="1"/>
  <c r="P277" i="30" s="1"/>
  <c r="M277" i="30"/>
  <c r="N277" i="30"/>
  <c r="K277" i="30"/>
  <c r="L276" i="30"/>
  <c r="O276" i="30" s="1"/>
  <c r="P276" i="30" s="1"/>
  <c r="M276" i="30"/>
  <c r="N276" i="30"/>
  <c r="K276" i="30"/>
  <c r="L275" i="30"/>
  <c r="O275" i="30" s="1"/>
  <c r="P275" i="30" s="1"/>
  <c r="M275" i="30"/>
  <c r="N275" i="30"/>
  <c r="K275" i="30"/>
  <c r="L274" i="30"/>
  <c r="O274" i="30" s="1"/>
  <c r="P274" i="30" s="1"/>
  <c r="M274" i="30"/>
  <c r="N274" i="30"/>
  <c r="K274" i="30"/>
  <c r="L273" i="30"/>
  <c r="O273" i="30" s="1"/>
  <c r="P273" i="30" s="1"/>
  <c r="M273" i="30"/>
  <c r="N273" i="30"/>
  <c r="K273" i="30"/>
  <c r="L272" i="30"/>
  <c r="O272" i="30" s="1"/>
  <c r="P272" i="30" s="1"/>
  <c r="M272" i="30"/>
  <c r="N272" i="30"/>
  <c r="K272" i="30"/>
  <c r="L271" i="30"/>
  <c r="M271" i="30"/>
  <c r="N271" i="30"/>
  <c r="K271" i="30"/>
  <c r="O271" i="30"/>
  <c r="P271" i="30" s="1"/>
  <c r="L270" i="30"/>
  <c r="O270" i="30" s="1"/>
  <c r="P270" i="30" s="1"/>
  <c r="M270" i="30"/>
  <c r="N270" i="30"/>
  <c r="K270" i="30"/>
  <c r="L269" i="30"/>
  <c r="O269" i="30" s="1"/>
  <c r="P269" i="30" s="1"/>
  <c r="M269" i="30"/>
  <c r="N269" i="30"/>
  <c r="K269" i="30"/>
  <c r="L268" i="30"/>
  <c r="O268" i="30" s="1"/>
  <c r="P268" i="30" s="1"/>
  <c r="M268" i="30"/>
  <c r="N268" i="30"/>
  <c r="K268" i="30"/>
  <c r="L267" i="30"/>
  <c r="O267" i="30" s="1"/>
  <c r="P267" i="30" s="1"/>
  <c r="M267" i="30"/>
  <c r="N267" i="30"/>
  <c r="K267" i="30"/>
  <c r="L266" i="30"/>
  <c r="O266" i="30" s="1"/>
  <c r="P266" i="30" s="1"/>
  <c r="M266" i="30"/>
  <c r="N266" i="30"/>
  <c r="K266" i="30"/>
  <c r="L265" i="30"/>
  <c r="M265" i="30"/>
  <c r="N265" i="30"/>
  <c r="K265" i="30"/>
  <c r="O265" i="30"/>
  <c r="P265" i="30" s="1"/>
  <c r="L264" i="30"/>
  <c r="M264" i="30"/>
  <c r="N264" i="30"/>
  <c r="K264" i="30"/>
  <c r="O264" i="30"/>
  <c r="P264" i="30" s="1"/>
  <c r="L263" i="30"/>
  <c r="M263" i="30"/>
  <c r="N263" i="30"/>
  <c r="K263" i="30"/>
  <c r="O263" i="30"/>
  <c r="P263" i="30" s="1"/>
  <c r="L262" i="30"/>
  <c r="M262" i="30"/>
  <c r="N262" i="30"/>
  <c r="K262" i="30"/>
  <c r="O262" i="30"/>
  <c r="P262" i="30" s="1"/>
  <c r="L261" i="30"/>
  <c r="O261" i="30" s="1"/>
  <c r="P261" i="30" s="1"/>
  <c r="M261" i="30"/>
  <c r="N261" i="30"/>
  <c r="K261" i="30"/>
  <c r="L260" i="30"/>
  <c r="O260" i="30" s="1"/>
  <c r="P260" i="30" s="1"/>
  <c r="M260" i="30"/>
  <c r="N260" i="30"/>
  <c r="K260" i="30"/>
  <c r="L259" i="30"/>
  <c r="O259" i="30" s="1"/>
  <c r="P259" i="30" s="1"/>
  <c r="M259" i="30"/>
  <c r="N259" i="30"/>
  <c r="K259" i="30"/>
  <c r="L258" i="30"/>
  <c r="O258" i="30" s="1"/>
  <c r="P258" i="30" s="1"/>
  <c r="M258" i="30"/>
  <c r="N258" i="30"/>
  <c r="K258" i="30"/>
  <c r="L257" i="30"/>
  <c r="M257" i="30"/>
  <c r="N257" i="30"/>
  <c r="K257" i="30"/>
  <c r="O257" i="30"/>
  <c r="P257" i="30" s="1"/>
  <c r="L256" i="30"/>
  <c r="O256" i="30" s="1"/>
  <c r="P256" i="30" s="1"/>
  <c r="M256" i="30"/>
  <c r="N256" i="30"/>
  <c r="K256" i="30"/>
  <c r="L255" i="30"/>
  <c r="O255" i="30" s="1"/>
  <c r="P255" i="30" s="1"/>
  <c r="M255" i="30"/>
  <c r="N255" i="30"/>
  <c r="K255" i="30"/>
  <c r="L254" i="30"/>
  <c r="O254" i="30" s="1"/>
  <c r="P254" i="30" s="1"/>
  <c r="M254" i="30"/>
  <c r="N254" i="30"/>
  <c r="K254" i="30"/>
  <c r="L253" i="30"/>
  <c r="O253" i="30" s="1"/>
  <c r="P253" i="30" s="1"/>
  <c r="M253" i="30"/>
  <c r="N253" i="30"/>
  <c r="K253" i="30"/>
  <c r="L252" i="30"/>
  <c r="O252" i="30" s="1"/>
  <c r="P252" i="30" s="1"/>
  <c r="M252" i="30"/>
  <c r="N252" i="30"/>
  <c r="K252" i="30"/>
  <c r="L251" i="30"/>
  <c r="O251" i="30" s="1"/>
  <c r="P251" i="30" s="1"/>
  <c r="M251" i="30"/>
  <c r="N251" i="30"/>
  <c r="K251" i="30"/>
  <c r="L250" i="30"/>
  <c r="O250" i="30" s="1"/>
  <c r="P250" i="30" s="1"/>
  <c r="M250" i="30"/>
  <c r="N250" i="30"/>
  <c r="K250" i="30"/>
  <c r="L249" i="30"/>
  <c r="O249" i="30" s="1"/>
  <c r="P249" i="30" s="1"/>
  <c r="M249" i="30"/>
  <c r="N249" i="30"/>
  <c r="K249" i="30"/>
  <c r="L248" i="30"/>
  <c r="O248" i="30" s="1"/>
  <c r="P248" i="30" s="1"/>
  <c r="M248" i="30"/>
  <c r="N248" i="30"/>
  <c r="K248" i="30"/>
  <c r="L247" i="30"/>
  <c r="O247" i="30" s="1"/>
  <c r="P247" i="30" s="1"/>
  <c r="M247" i="30"/>
  <c r="N247" i="30"/>
  <c r="K247" i="30"/>
  <c r="L246" i="30"/>
  <c r="O246" i="30" s="1"/>
  <c r="P246" i="30" s="1"/>
  <c r="M246" i="30"/>
  <c r="N246" i="30"/>
  <c r="K246" i="30"/>
  <c r="L245" i="30"/>
  <c r="O245" i="30" s="1"/>
  <c r="P245" i="30" s="1"/>
  <c r="M245" i="30"/>
  <c r="N245" i="30"/>
  <c r="K245" i="30"/>
  <c r="L244" i="30"/>
  <c r="O244" i="30" s="1"/>
  <c r="P244" i="30" s="1"/>
  <c r="M244" i="30"/>
  <c r="N244" i="30"/>
  <c r="K244" i="30"/>
  <c r="L243" i="30"/>
  <c r="O243" i="30" s="1"/>
  <c r="P243" i="30" s="1"/>
  <c r="M243" i="30"/>
  <c r="N243" i="30"/>
  <c r="K243" i="30"/>
  <c r="L242" i="30"/>
  <c r="O242" i="30" s="1"/>
  <c r="P242" i="30" s="1"/>
  <c r="M242" i="30"/>
  <c r="N242" i="30"/>
  <c r="K242" i="30"/>
  <c r="L241" i="30"/>
  <c r="O241" i="30" s="1"/>
  <c r="P241" i="30" s="1"/>
  <c r="M241" i="30"/>
  <c r="N241" i="30"/>
  <c r="K241" i="30"/>
  <c r="L240" i="30"/>
  <c r="O240" i="30" s="1"/>
  <c r="P240" i="30" s="1"/>
  <c r="M240" i="30"/>
  <c r="N240" i="30"/>
  <c r="K240" i="30"/>
  <c r="L239" i="30"/>
  <c r="M239" i="30"/>
  <c r="N239" i="30"/>
  <c r="K239" i="30"/>
  <c r="O239" i="30"/>
  <c r="P239" i="30" s="1"/>
  <c r="L238" i="30"/>
  <c r="M238" i="30"/>
  <c r="N238" i="30"/>
  <c r="K238" i="30"/>
  <c r="O238" i="30"/>
  <c r="P238" i="30"/>
  <c r="L237" i="30"/>
  <c r="O237" i="30" s="1"/>
  <c r="P237" i="30" s="1"/>
  <c r="M237" i="30"/>
  <c r="N237" i="30"/>
  <c r="K237" i="30"/>
  <c r="L236" i="30"/>
  <c r="M236" i="30"/>
  <c r="N236" i="30"/>
  <c r="K236" i="30"/>
  <c r="O236" i="30"/>
  <c r="P236" i="30"/>
  <c r="L235" i="30"/>
  <c r="M235" i="30"/>
  <c r="N235" i="30"/>
  <c r="K235" i="30"/>
  <c r="O235" i="30"/>
  <c r="P235" i="30" s="1"/>
  <c r="L234" i="30"/>
  <c r="M234" i="30"/>
  <c r="N234" i="30"/>
  <c r="K234" i="30"/>
  <c r="O234" i="30"/>
  <c r="P234" i="30" s="1"/>
  <c r="L233" i="30"/>
  <c r="M233" i="30"/>
  <c r="N233" i="30"/>
  <c r="K233" i="30"/>
  <c r="O233" i="30"/>
  <c r="P233" i="30"/>
  <c r="L232" i="30"/>
  <c r="O232" i="30" s="1"/>
  <c r="P232" i="30" s="1"/>
  <c r="M232" i="30"/>
  <c r="N232" i="30"/>
  <c r="K232" i="30"/>
  <c r="L231" i="30"/>
  <c r="M231" i="30"/>
  <c r="N231" i="30"/>
  <c r="K231" i="30"/>
  <c r="O231" i="30"/>
  <c r="P231" i="30" s="1"/>
  <c r="L230" i="30"/>
  <c r="O230" i="30" s="1"/>
  <c r="P230" i="30" s="1"/>
  <c r="M230" i="30"/>
  <c r="N230" i="30"/>
  <c r="K230" i="30"/>
  <c r="L229" i="30"/>
  <c r="O229" i="30" s="1"/>
  <c r="P229" i="30" s="1"/>
  <c r="M229" i="30"/>
  <c r="N229" i="30"/>
  <c r="K229" i="30"/>
  <c r="L228" i="30"/>
  <c r="O228" i="30" s="1"/>
  <c r="P228" i="30" s="1"/>
  <c r="M228" i="30"/>
  <c r="N228" i="30"/>
  <c r="K228" i="30"/>
  <c r="L227" i="30"/>
  <c r="M227" i="30"/>
  <c r="N227" i="30"/>
  <c r="K227" i="30"/>
  <c r="O227" i="30"/>
  <c r="P227" i="30" s="1"/>
  <c r="L226" i="30"/>
  <c r="O226" i="30" s="1"/>
  <c r="P226" i="30" s="1"/>
  <c r="M226" i="30"/>
  <c r="N226" i="30"/>
  <c r="K226" i="30"/>
  <c r="L225" i="30"/>
  <c r="O225" i="30" s="1"/>
  <c r="P225" i="30" s="1"/>
  <c r="M225" i="30"/>
  <c r="N225" i="30"/>
  <c r="K225" i="30"/>
  <c r="L224" i="30"/>
  <c r="O224" i="30" s="1"/>
  <c r="P224" i="30" s="1"/>
  <c r="M224" i="30"/>
  <c r="N224" i="30"/>
  <c r="K224" i="30"/>
  <c r="L223" i="30"/>
  <c r="O223" i="30" s="1"/>
  <c r="P223" i="30" s="1"/>
  <c r="M223" i="30"/>
  <c r="N223" i="30"/>
  <c r="K223" i="30"/>
  <c r="L222" i="30"/>
  <c r="O222" i="30" s="1"/>
  <c r="P222" i="30" s="1"/>
  <c r="M222" i="30"/>
  <c r="N222" i="30"/>
  <c r="K222" i="30"/>
  <c r="L221" i="30"/>
  <c r="M221" i="30"/>
  <c r="N221" i="30"/>
  <c r="K221" i="30"/>
  <c r="O221" i="30"/>
  <c r="P221" i="30" s="1"/>
  <c r="L220" i="30"/>
  <c r="O220" i="30" s="1"/>
  <c r="P220" i="30" s="1"/>
  <c r="M220" i="30"/>
  <c r="N220" i="30"/>
  <c r="K220" i="30"/>
  <c r="L219" i="30"/>
  <c r="O219" i="30" s="1"/>
  <c r="P219" i="30" s="1"/>
  <c r="M219" i="30"/>
  <c r="N219" i="30"/>
  <c r="K219" i="30"/>
  <c r="L218" i="30"/>
  <c r="M218" i="30"/>
  <c r="N218" i="30"/>
  <c r="K218" i="30"/>
  <c r="O218" i="30"/>
  <c r="P218" i="30" s="1"/>
  <c r="L217" i="30"/>
  <c r="M217" i="30"/>
  <c r="N217" i="30"/>
  <c r="K217" i="30"/>
  <c r="O217" i="30"/>
  <c r="P217" i="30" s="1"/>
  <c r="L216" i="30"/>
  <c r="O216" i="30" s="1"/>
  <c r="P216" i="30" s="1"/>
  <c r="M216" i="30"/>
  <c r="N216" i="30"/>
  <c r="K216" i="30"/>
  <c r="L215" i="30"/>
  <c r="M215" i="30"/>
  <c r="N215" i="30"/>
  <c r="K215" i="30"/>
  <c r="O215" i="30"/>
  <c r="P215" i="30"/>
  <c r="L214" i="30"/>
  <c r="O214" i="30" s="1"/>
  <c r="P214" i="30" s="1"/>
  <c r="M214" i="30"/>
  <c r="N214" i="30"/>
  <c r="K214" i="30"/>
  <c r="L213" i="30"/>
  <c r="O213" i="30" s="1"/>
  <c r="P213" i="30" s="1"/>
  <c r="M213" i="30"/>
  <c r="N213" i="30"/>
  <c r="K213" i="30"/>
  <c r="L212" i="30"/>
  <c r="O212" i="30" s="1"/>
  <c r="P212" i="30" s="1"/>
  <c r="M212" i="30"/>
  <c r="N212" i="30"/>
  <c r="K212" i="30"/>
  <c r="L211" i="30"/>
  <c r="O211" i="30" s="1"/>
  <c r="P211" i="30" s="1"/>
  <c r="M211" i="30"/>
  <c r="N211" i="30"/>
  <c r="K211" i="30"/>
  <c r="L210" i="30"/>
  <c r="O210" i="30" s="1"/>
  <c r="P210" i="30" s="1"/>
  <c r="M210" i="30"/>
  <c r="N210" i="30"/>
  <c r="K210" i="30"/>
  <c r="L209" i="30"/>
  <c r="M209" i="30"/>
  <c r="N209" i="30"/>
  <c r="K209" i="30"/>
  <c r="O209" i="30"/>
  <c r="P209" i="30" s="1"/>
  <c r="L208" i="30"/>
  <c r="O208" i="30" s="1"/>
  <c r="P208" i="30" s="1"/>
  <c r="M208" i="30"/>
  <c r="N208" i="30"/>
  <c r="K208" i="30"/>
  <c r="L207" i="30"/>
  <c r="M207" i="30"/>
  <c r="N207" i="30"/>
  <c r="K207" i="30"/>
  <c r="O207" i="30"/>
  <c r="P207" i="30" s="1"/>
  <c r="L206" i="30"/>
  <c r="O206" i="30" s="1"/>
  <c r="P206" i="30" s="1"/>
  <c r="M206" i="30"/>
  <c r="N206" i="30"/>
  <c r="K206" i="30"/>
  <c r="L205" i="30"/>
  <c r="M205" i="30"/>
  <c r="N205" i="30"/>
  <c r="K205" i="30"/>
  <c r="O205" i="30"/>
  <c r="P205" i="30" s="1"/>
  <c r="L204" i="30"/>
  <c r="O204" i="30" s="1"/>
  <c r="P204" i="30" s="1"/>
  <c r="M204" i="30"/>
  <c r="N204" i="30"/>
  <c r="K204" i="30"/>
  <c r="L203" i="30"/>
  <c r="O203" i="30" s="1"/>
  <c r="P203" i="30" s="1"/>
  <c r="M203" i="30"/>
  <c r="N203" i="30"/>
  <c r="K203" i="30"/>
  <c r="L202" i="30"/>
  <c r="O202" i="30" s="1"/>
  <c r="P202" i="30" s="1"/>
  <c r="M202" i="30"/>
  <c r="N202" i="30"/>
  <c r="K202" i="30"/>
  <c r="L201" i="30"/>
  <c r="O201" i="30" s="1"/>
  <c r="P201" i="30" s="1"/>
  <c r="M201" i="30"/>
  <c r="N201" i="30"/>
  <c r="K201" i="30"/>
  <c r="L200" i="30"/>
  <c r="M200" i="30"/>
  <c r="N200" i="30"/>
  <c r="K200" i="30"/>
  <c r="O200" i="30"/>
  <c r="P200" i="30"/>
  <c r="L199" i="30"/>
  <c r="O199" i="30" s="1"/>
  <c r="P199" i="30" s="1"/>
  <c r="M199" i="30"/>
  <c r="N199" i="30"/>
  <c r="K199" i="30"/>
  <c r="L198" i="30"/>
  <c r="O198" i="30" s="1"/>
  <c r="P198" i="30" s="1"/>
  <c r="M198" i="30"/>
  <c r="N198" i="30"/>
  <c r="K198" i="30"/>
  <c r="L197" i="30"/>
  <c r="M197" i="30"/>
  <c r="N197" i="30"/>
  <c r="K197" i="30"/>
  <c r="O197" i="30"/>
  <c r="P197" i="30"/>
  <c r="L196" i="30"/>
  <c r="O196" i="30" s="1"/>
  <c r="P196" i="30" s="1"/>
  <c r="M196" i="30"/>
  <c r="N196" i="30"/>
  <c r="K196" i="30"/>
  <c r="L195" i="30"/>
  <c r="O195" i="30" s="1"/>
  <c r="P195" i="30" s="1"/>
  <c r="M195" i="30"/>
  <c r="N195" i="30"/>
  <c r="K195" i="30"/>
  <c r="L194" i="30"/>
  <c r="M194" i="30"/>
  <c r="N194" i="30"/>
  <c r="K194" i="30"/>
  <c r="O194" i="30"/>
  <c r="P194" i="30" s="1"/>
  <c r="L193" i="30"/>
  <c r="M193" i="30"/>
  <c r="N193" i="30"/>
  <c r="K193" i="30"/>
  <c r="O193" i="30"/>
  <c r="P193" i="30" s="1"/>
  <c r="L192" i="30"/>
  <c r="O192" i="30" s="1"/>
  <c r="P192" i="30" s="1"/>
  <c r="M192" i="30"/>
  <c r="N192" i="30"/>
  <c r="K192" i="30"/>
  <c r="L191" i="30"/>
  <c r="O191" i="30" s="1"/>
  <c r="P191" i="30" s="1"/>
  <c r="M191" i="30"/>
  <c r="N191" i="30"/>
  <c r="K191" i="30"/>
  <c r="L190" i="30"/>
  <c r="O190" i="30" s="1"/>
  <c r="P190" i="30" s="1"/>
  <c r="M190" i="30"/>
  <c r="N190" i="30"/>
  <c r="K190" i="30"/>
  <c r="L189" i="30"/>
  <c r="O189" i="30" s="1"/>
  <c r="P189" i="30" s="1"/>
  <c r="M189" i="30"/>
  <c r="N189" i="30"/>
  <c r="K189" i="30"/>
  <c r="L188" i="30"/>
  <c r="O188" i="30" s="1"/>
  <c r="P188" i="30" s="1"/>
  <c r="M188" i="30"/>
  <c r="N188" i="30"/>
  <c r="K188" i="30"/>
  <c r="L187" i="30"/>
  <c r="M187" i="30"/>
  <c r="N187" i="30"/>
  <c r="K187" i="30"/>
  <c r="O187" i="30"/>
  <c r="P187" i="30" s="1"/>
  <c r="L186" i="30"/>
  <c r="O186" i="30" s="1"/>
  <c r="P186" i="30" s="1"/>
  <c r="M186" i="30"/>
  <c r="N186" i="30"/>
  <c r="K186" i="30"/>
  <c r="L185" i="30"/>
  <c r="O185" i="30" s="1"/>
  <c r="P185" i="30" s="1"/>
  <c r="M185" i="30"/>
  <c r="N185" i="30"/>
  <c r="K185" i="30"/>
  <c r="L184" i="30"/>
  <c r="M184" i="30"/>
  <c r="N184" i="30"/>
  <c r="K184" i="30"/>
  <c r="O184" i="30"/>
  <c r="P184" i="30" s="1"/>
  <c r="L183" i="30"/>
  <c r="O183" i="30" s="1"/>
  <c r="P183" i="30" s="1"/>
  <c r="M183" i="30"/>
  <c r="N183" i="30"/>
  <c r="K183" i="30"/>
  <c r="L182" i="30"/>
  <c r="M182" i="30"/>
  <c r="N182" i="30"/>
  <c r="K182" i="30"/>
  <c r="O182" i="30"/>
  <c r="P182" i="30" s="1"/>
  <c r="L181" i="30"/>
  <c r="O181" i="30" s="1"/>
  <c r="P181" i="30" s="1"/>
  <c r="M181" i="30"/>
  <c r="N181" i="30"/>
  <c r="K181" i="30"/>
  <c r="L180" i="30"/>
  <c r="O180" i="30" s="1"/>
  <c r="P180" i="30" s="1"/>
  <c r="M180" i="30"/>
  <c r="N180" i="30"/>
  <c r="K180" i="30"/>
  <c r="L179" i="30"/>
  <c r="O179" i="30" s="1"/>
  <c r="P179" i="30" s="1"/>
  <c r="M179" i="30"/>
  <c r="N179" i="30"/>
  <c r="K179" i="30"/>
  <c r="L178" i="30"/>
  <c r="O178" i="30" s="1"/>
  <c r="P178" i="30" s="1"/>
  <c r="M178" i="30"/>
  <c r="N178" i="30"/>
  <c r="K178" i="30"/>
  <c r="L177" i="30"/>
  <c r="M177" i="30"/>
  <c r="N177" i="30"/>
  <c r="K177" i="30"/>
  <c r="O177" i="30"/>
  <c r="P177" i="30" s="1"/>
  <c r="L176" i="30"/>
  <c r="M176" i="30"/>
  <c r="N176" i="30"/>
  <c r="K176" i="30"/>
  <c r="O176" i="30"/>
  <c r="P176" i="30" s="1"/>
  <c r="L175" i="30"/>
  <c r="O175" i="30" s="1"/>
  <c r="P175" i="30" s="1"/>
  <c r="M175" i="30"/>
  <c r="N175" i="30"/>
  <c r="K175" i="30"/>
  <c r="L174" i="30"/>
  <c r="O174" i="30" s="1"/>
  <c r="P174" i="30" s="1"/>
  <c r="M174" i="30"/>
  <c r="N174" i="30"/>
  <c r="K174" i="30"/>
  <c r="L173" i="30"/>
  <c r="O173" i="30" s="1"/>
  <c r="P173" i="30" s="1"/>
  <c r="M173" i="30"/>
  <c r="N173" i="30"/>
  <c r="K173" i="30"/>
  <c r="L172" i="30"/>
  <c r="O172" i="30" s="1"/>
  <c r="P172" i="30" s="1"/>
  <c r="M172" i="30"/>
  <c r="N172" i="30"/>
  <c r="K172" i="30"/>
  <c r="L171" i="30"/>
  <c r="O171" i="30" s="1"/>
  <c r="P171" i="30" s="1"/>
  <c r="M171" i="30"/>
  <c r="N171" i="30"/>
  <c r="L170" i="30"/>
  <c r="O170" i="30" s="1"/>
  <c r="P170" i="30" s="1"/>
  <c r="M170" i="30"/>
  <c r="N170" i="30"/>
  <c r="L169" i="30"/>
  <c r="O169" i="30" s="1"/>
  <c r="P169" i="30" s="1"/>
  <c r="M169" i="30"/>
  <c r="N169" i="30"/>
  <c r="E21" i="32"/>
  <c r="L168" i="30"/>
  <c r="O168" i="30" s="1"/>
  <c r="P168" i="30" s="1"/>
  <c r="M168" i="30"/>
  <c r="N168" i="30"/>
  <c r="L167" i="30"/>
  <c r="O167" i="30" s="1"/>
  <c r="P167" i="30" s="1"/>
  <c r="M167" i="30"/>
  <c r="N167" i="30"/>
  <c r="L166" i="30"/>
  <c r="O166" i="30" s="1"/>
  <c r="P166" i="30" s="1"/>
  <c r="M166" i="30"/>
  <c r="N166" i="30"/>
  <c r="L165" i="30"/>
  <c r="O165" i="30" s="1"/>
  <c r="P165" i="30" s="1"/>
  <c r="M165" i="30"/>
  <c r="N165" i="30"/>
  <c r="L164" i="30"/>
  <c r="O164" i="30" s="1"/>
  <c r="P164" i="30" s="1"/>
  <c r="M164" i="30"/>
  <c r="N164" i="30"/>
  <c r="L163" i="30"/>
  <c r="O163" i="30" s="1"/>
  <c r="P163" i="30" s="1"/>
  <c r="M163" i="30"/>
  <c r="N163" i="30"/>
  <c r="L162" i="30"/>
  <c r="O162" i="30" s="1"/>
  <c r="P162" i="30" s="1"/>
  <c r="M162" i="30"/>
  <c r="N162" i="30"/>
  <c r="L161" i="30"/>
  <c r="O161" i="30" s="1"/>
  <c r="P161" i="30" s="1"/>
  <c r="M161" i="30"/>
  <c r="N161" i="30"/>
  <c r="E20" i="32"/>
  <c r="L160" i="30"/>
  <c r="O160" i="30" s="1"/>
  <c r="P160" i="30" s="1"/>
  <c r="M160" i="30"/>
  <c r="N160" i="30"/>
  <c r="L159" i="30"/>
  <c r="O159" i="30" s="1"/>
  <c r="P159" i="30" s="1"/>
  <c r="M159" i="30"/>
  <c r="N159" i="30"/>
  <c r="L158" i="30"/>
  <c r="O158" i="30" s="1"/>
  <c r="P158" i="30" s="1"/>
  <c r="M158" i="30"/>
  <c r="N158" i="30"/>
  <c r="L157" i="30"/>
  <c r="O157" i="30" s="1"/>
  <c r="P157" i="30" s="1"/>
  <c r="M157" i="30"/>
  <c r="N157" i="30"/>
  <c r="L156" i="30"/>
  <c r="O156" i="30" s="1"/>
  <c r="P156" i="30" s="1"/>
  <c r="M156" i="30"/>
  <c r="N156" i="30"/>
  <c r="L155" i="30"/>
  <c r="O155" i="30" s="1"/>
  <c r="P155" i="30" s="1"/>
  <c r="M155" i="30"/>
  <c r="N155" i="30"/>
  <c r="L154" i="30"/>
  <c r="O154" i="30" s="1"/>
  <c r="P154" i="30" s="1"/>
  <c r="M154" i="30"/>
  <c r="N154" i="30"/>
  <c r="E19" i="32"/>
  <c r="L153" i="30"/>
  <c r="O153" i="30" s="1"/>
  <c r="P153" i="30" s="1"/>
  <c r="M153" i="30"/>
  <c r="N153" i="30"/>
  <c r="L152" i="30"/>
  <c r="O152" i="30" s="1"/>
  <c r="P152" i="30" s="1"/>
  <c r="M152" i="30"/>
  <c r="N152" i="30"/>
  <c r="L151" i="30"/>
  <c r="O151" i="30" s="1"/>
  <c r="P151" i="30" s="1"/>
  <c r="M151" i="30"/>
  <c r="N151" i="30"/>
  <c r="L150" i="30"/>
  <c r="O150" i="30" s="1"/>
  <c r="P150" i="30" s="1"/>
  <c r="M150" i="30"/>
  <c r="N150" i="30"/>
  <c r="E18" i="32"/>
  <c r="L149" i="30"/>
  <c r="O149" i="30" s="1"/>
  <c r="P149" i="30" s="1"/>
  <c r="M149" i="30"/>
  <c r="N149" i="30"/>
  <c r="L148" i="30"/>
  <c r="O148" i="30" s="1"/>
  <c r="P148" i="30" s="1"/>
  <c r="M148" i="30"/>
  <c r="N148" i="30"/>
  <c r="L147" i="30"/>
  <c r="O147" i="30" s="1"/>
  <c r="P147" i="30" s="1"/>
  <c r="M147" i="30"/>
  <c r="N147" i="30"/>
  <c r="L146" i="30"/>
  <c r="O146" i="30" s="1"/>
  <c r="P146" i="30" s="1"/>
  <c r="M146" i="30"/>
  <c r="N146" i="30"/>
  <c r="L145" i="30"/>
  <c r="O145" i="30" s="1"/>
  <c r="P145" i="30" s="1"/>
  <c r="M145" i="30"/>
  <c r="N145" i="30"/>
  <c r="L144" i="30"/>
  <c r="O144" i="30" s="1"/>
  <c r="P144" i="30" s="1"/>
  <c r="M144" i="30"/>
  <c r="N144" i="30"/>
  <c r="L143" i="30"/>
  <c r="O143" i="30" s="1"/>
  <c r="P143" i="30" s="1"/>
  <c r="M143" i="30"/>
  <c r="N143" i="30"/>
  <c r="L142" i="30"/>
  <c r="O142" i="30" s="1"/>
  <c r="P142" i="30" s="1"/>
  <c r="M142" i="30"/>
  <c r="N142" i="30"/>
  <c r="E17" i="32"/>
  <c r="L141" i="30"/>
  <c r="O141" i="30" s="1"/>
  <c r="P141" i="30" s="1"/>
  <c r="M141" i="30"/>
  <c r="N141" i="30"/>
  <c r="L140" i="30"/>
  <c r="O140" i="30" s="1"/>
  <c r="P140" i="30" s="1"/>
  <c r="M140" i="30"/>
  <c r="N140" i="30"/>
  <c r="L139" i="30"/>
  <c r="O139" i="30" s="1"/>
  <c r="P139" i="30" s="1"/>
  <c r="M139" i="30"/>
  <c r="N139" i="30"/>
  <c r="L138" i="30"/>
  <c r="O138" i="30" s="1"/>
  <c r="P138" i="30" s="1"/>
  <c r="M138" i="30"/>
  <c r="N138" i="30"/>
  <c r="L137" i="30"/>
  <c r="O137" i="30" s="1"/>
  <c r="P137" i="30" s="1"/>
  <c r="M137" i="30"/>
  <c r="N137" i="30"/>
  <c r="L136" i="30"/>
  <c r="O136" i="30" s="1"/>
  <c r="P136" i="30" s="1"/>
  <c r="M136" i="30"/>
  <c r="N136" i="30"/>
  <c r="E16" i="32"/>
  <c r="L135" i="30"/>
  <c r="O135" i="30" s="1"/>
  <c r="P135" i="30" s="1"/>
  <c r="M135" i="30"/>
  <c r="N135" i="30"/>
  <c r="L134" i="30"/>
  <c r="O134" i="30" s="1"/>
  <c r="P134" i="30" s="1"/>
  <c r="M134" i="30"/>
  <c r="N134" i="30"/>
  <c r="L133" i="30"/>
  <c r="O133" i="30" s="1"/>
  <c r="P133" i="30" s="1"/>
  <c r="M133" i="30"/>
  <c r="N133" i="30"/>
  <c r="L132" i="30"/>
  <c r="O132" i="30" s="1"/>
  <c r="P132" i="30" s="1"/>
  <c r="M132" i="30"/>
  <c r="N132" i="30"/>
  <c r="L131" i="30"/>
  <c r="O131" i="30" s="1"/>
  <c r="P131" i="30" s="1"/>
  <c r="M131" i="30"/>
  <c r="N131" i="30"/>
  <c r="L130" i="30"/>
  <c r="O130" i="30" s="1"/>
  <c r="P130" i="30" s="1"/>
  <c r="M130" i="30"/>
  <c r="N130" i="30"/>
  <c r="L129" i="30"/>
  <c r="O129" i="30" s="1"/>
  <c r="P129" i="30" s="1"/>
  <c r="M129" i="30"/>
  <c r="N129" i="30"/>
  <c r="L128" i="30"/>
  <c r="O128" i="30" s="1"/>
  <c r="P128" i="30" s="1"/>
  <c r="M128" i="30"/>
  <c r="N128" i="30"/>
  <c r="E15" i="32"/>
  <c r="L127" i="30"/>
  <c r="O127" i="30" s="1"/>
  <c r="P127" i="30" s="1"/>
  <c r="M127" i="30"/>
  <c r="N127" i="30"/>
  <c r="L126" i="30"/>
  <c r="O126" i="30" s="1"/>
  <c r="P126" i="30" s="1"/>
  <c r="M126" i="30"/>
  <c r="N126" i="30"/>
  <c r="L125" i="30"/>
  <c r="O125" i="30" s="1"/>
  <c r="P125" i="30" s="1"/>
  <c r="M125" i="30"/>
  <c r="N125" i="30"/>
  <c r="L124" i="30"/>
  <c r="O124" i="30" s="1"/>
  <c r="P124" i="30" s="1"/>
  <c r="M124" i="30"/>
  <c r="N124" i="30"/>
  <c r="L123" i="30"/>
  <c r="O123" i="30" s="1"/>
  <c r="P123" i="30" s="1"/>
  <c r="M123" i="30"/>
  <c r="N123" i="30"/>
  <c r="E14" i="32"/>
  <c r="L122" i="30"/>
  <c r="O122" i="30" s="1"/>
  <c r="P122" i="30" s="1"/>
  <c r="M122" i="30"/>
  <c r="N122" i="30"/>
  <c r="L121" i="30"/>
  <c r="O121" i="30" s="1"/>
  <c r="P121" i="30" s="1"/>
  <c r="M121" i="30"/>
  <c r="N121" i="30"/>
  <c r="L120" i="30"/>
  <c r="O120" i="30" s="1"/>
  <c r="P120" i="30" s="1"/>
  <c r="M120" i="30"/>
  <c r="N120" i="30"/>
  <c r="L119" i="30"/>
  <c r="O119" i="30" s="1"/>
  <c r="P119" i="30" s="1"/>
  <c r="M119" i="30"/>
  <c r="N119" i="30"/>
  <c r="L118" i="30"/>
  <c r="O118" i="30" s="1"/>
  <c r="P118" i="30" s="1"/>
  <c r="M118" i="30"/>
  <c r="N118" i="30"/>
  <c r="E13" i="32"/>
  <c r="L117" i="30"/>
  <c r="O117" i="30" s="1"/>
  <c r="P117" i="30" s="1"/>
  <c r="M117" i="30"/>
  <c r="N117" i="30"/>
  <c r="L116" i="30"/>
  <c r="O116" i="30" s="1"/>
  <c r="P116" i="30" s="1"/>
  <c r="M116" i="30"/>
  <c r="N116" i="30"/>
  <c r="L115" i="30"/>
  <c r="O115" i="30" s="1"/>
  <c r="P115" i="30" s="1"/>
  <c r="M115" i="30"/>
  <c r="N115" i="30"/>
  <c r="L114" i="30"/>
  <c r="O114" i="30" s="1"/>
  <c r="P114" i="30" s="1"/>
  <c r="M114" i="30"/>
  <c r="N114" i="30"/>
  <c r="L113" i="30"/>
  <c r="O113" i="30" s="1"/>
  <c r="P113" i="30" s="1"/>
  <c r="M113" i="30"/>
  <c r="N113" i="30"/>
  <c r="L112" i="30"/>
  <c r="O112" i="30" s="1"/>
  <c r="P112" i="30" s="1"/>
  <c r="M112" i="30"/>
  <c r="N112" i="30"/>
  <c r="L111" i="30"/>
  <c r="O111" i="30" s="1"/>
  <c r="P111" i="30" s="1"/>
  <c r="M111" i="30"/>
  <c r="N111" i="30"/>
  <c r="E12" i="32"/>
  <c r="L110" i="30"/>
  <c r="O110" i="30" s="1"/>
  <c r="P110" i="30" s="1"/>
  <c r="M110" i="30"/>
  <c r="N110" i="30"/>
  <c r="L109" i="30"/>
  <c r="O109" i="30" s="1"/>
  <c r="P109" i="30" s="1"/>
  <c r="M109" i="30"/>
  <c r="N109" i="30"/>
  <c r="L108" i="30"/>
  <c r="O108" i="30" s="1"/>
  <c r="P108" i="30" s="1"/>
  <c r="M108" i="30"/>
  <c r="N108" i="30"/>
  <c r="L107" i="30"/>
  <c r="O107" i="30" s="1"/>
  <c r="P107" i="30" s="1"/>
  <c r="M107" i="30"/>
  <c r="N107" i="30"/>
  <c r="L106" i="30"/>
  <c r="O106" i="30" s="1"/>
  <c r="P106" i="30" s="1"/>
  <c r="M106" i="30"/>
  <c r="N106" i="30"/>
  <c r="L105" i="30"/>
  <c r="O105" i="30" s="1"/>
  <c r="P105" i="30" s="1"/>
  <c r="M105" i="30"/>
  <c r="N105" i="30"/>
  <c r="E11" i="32"/>
  <c r="L104" i="30"/>
  <c r="O104" i="30" s="1"/>
  <c r="P104" i="30" s="1"/>
  <c r="M104" i="30"/>
  <c r="N104" i="30"/>
  <c r="L103" i="30"/>
  <c r="O103" i="30" s="1"/>
  <c r="P103" i="30" s="1"/>
  <c r="M103" i="30"/>
  <c r="N103" i="30"/>
  <c r="L102" i="30"/>
  <c r="O102" i="30" s="1"/>
  <c r="P102" i="30" s="1"/>
  <c r="M102" i="30"/>
  <c r="N102" i="30"/>
  <c r="L101" i="30"/>
  <c r="O101" i="30" s="1"/>
  <c r="P101" i="30" s="1"/>
  <c r="M101" i="30"/>
  <c r="N101" i="30"/>
  <c r="L100" i="30"/>
  <c r="O100" i="30" s="1"/>
  <c r="P100" i="30" s="1"/>
  <c r="M100" i="30"/>
  <c r="N100" i="30"/>
  <c r="L99" i="30"/>
  <c r="O99" i="30" s="1"/>
  <c r="P99" i="30" s="1"/>
  <c r="M99" i="30"/>
  <c r="N99" i="30"/>
  <c r="E10" i="32"/>
  <c r="L98" i="30"/>
  <c r="O98" i="30" s="1"/>
  <c r="P98" i="30" s="1"/>
  <c r="M98" i="30"/>
  <c r="N98" i="30"/>
  <c r="L97" i="30"/>
  <c r="O97" i="30" s="1"/>
  <c r="P97" i="30" s="1"/>
  <c r="M97" i="30"/>
  <c r="N97" i="30"/>
  <c r="L96" i="30"/>
  <c r="O96" i="30" s="1"/>
  <c r="P96" i="30" s="1"/>
  <c r="M96" i="30"/>
  <c r="N96" i="30"/>
  <c r="L95" i="30"/>
  <c r="O95" i="30" s="1"/>
  <c r="P95" i="30" s="1"/>
  <c r="M95" i="30"/>
  <c r="N95" i="30"/>
  <c r="L94" i="30"/>
  <c r="O94" i="30" s="1"/>
  <c r="P94" i="30" s="1"/>
  <c r="M94" i="30"/>
  <c r="N94" i="30"/>
  <c r="L93" i="30"/>
  <c r="O93" i="30" s="1"/>
  <c r="P93" i="30" s="1"/>
  <c r="M93" i="30"/>
  <c r="N93" i="30"/>
  <c r="L92" i="30"/>
  <c r="O92" i="30" s="1"/>
  <c r="P92" i="30" s="1"/>
  <c r="M92" i="30"/>
  <c r="N92" i="30"/>
  <c r="L91" i="30"/>
  <c r="O91" i="30" s="1"/>
  <c r="P91" i="30" s="1"/>
  <c r="M91" i="30"/>
  <c r="N91" i="30"/>
  <c r="L90" i="30"/>
  <c r="O90" i="30" s="1"/>
  <c r="P90" i="30" s="1"/>
  <c r="M90" i="30"/>
  <c r="N90" i="30"/>
  <c r="E9" i="32"/>
  <c r="L89" i="30"/>
  <c r="O89" i="30" s="1"/>
  <c r="P89" i="30" s="1"/>
  <c r="M89" i="30"/>
  <c r="N89" i="30"/>
  <c r="L88" i="30"/>
  <c r="O88" i="30" s="1"/>
  <c r="P88" i="30" s="1"/>
  <c r="M88" i="30"/>
  <c r="N88" i="30"/>
  <c r="L87" i="30"/>
  <c r="O87" i="30" s="1"/>
  <c r="P87" i="30" s="1"/>
  <c r="M87" i="30"/>
  <c r="N87" i="30"/>
  <c r="L86" i="30"/>
  <c r="O86" i="30" s="1"/>
  <c r="P86" i="30" s="1"/>
  <c r="M86" i="30"/>
  <c r="N86" i="30"/>
  <c r="L85" i="30"/>
  <c r="O85" i="30" s="1"/>
  <c r="P85" i="30" s="1"/>
  <c r="M85" i="30"/>
  <c r="N85" i="30"/>
  <c r="L84" i="30"/>
  <c r="O84" i="30" s="1"/>
  <c r="P84" i="30" s="1"/>
  <c r="M84" i="30"/>
  <c r="N84" i="30"/>
  <c r="L83" i="30"/>
  <c r="O83" i="30" s="1"/>
  <c r="P83" i="30" s="1"/>
  <c r="M83" i="30"/>
  <c r="N83" i="30"/>
  <c r="L82" i="30"/>
  <c r="O82" i="30" s="1"/>
  <c r="P82" i="30" s="1"/>
  <c r="M82" i="30"/>
  <c r="N82" i="30"/>
  <c r="L81" i="30"/>
  <c r="O81" i="30" s="1"/>
  <c r="P81" i="30" s="1"/>
  <c r="M81" i="30"/>
  <c r="N81" i="30"/>
  <c r="L80" i="30"/>
  <c r="O80" i="30" s="1"/>
  <c r="P80" i="30" s="1"/>
  <c r="M80" i="30"/>
  <c r="N80" i="30"/>
  <c r="E8" i="32"/>
  <c r="L79" i="30"/>
  <c r="O79" i="30" s="1"/>
  <c r="P79" i="30" s="1"/>
  <c r="M79" i="30"/>
  <c r="N79" i="30"/>
  <c r="L78" i="30"/>
  <c r="O78" i="30" s="1"/>
  <c r="P78" i="30" s="1"/>
  <c r="M78" i="30"/>
  <c r="N78" i="30"/>
  <c r="L77" i="30"/>
  <c r="O77" i="30" s="1"/>
  <c r="P77" i="30" s="1"/>
  <c r="M77" i="30"/>
  <c r="N77" i="30"/>
  <c r="L76" i="30"/>
  <c r="O76" i="30" s="1"/>
  <c r="P76" i="30" s="1"/>
  <c r="M76" i="30"/>
  <c r="N76" i="30"/>
  <c r="L75" i="30"/>
  <c r="O75" i="30" s="1"/>
  <c r="P75" i="30" s="1"/>
  <c r="M75" i="30"/>
  <c r="N75" i="30"/>
  <c r="L74" i="30"/>
  <c r="O74" i="30" s="1"/>
  <c r="P74" i="30" s="1"/>
  <c r="M74" i="30"/>
  <c r="N74" i="30"/>
  <c r="L73" i="30"/>
  <c r="O73" i="30" s="1"/>
  <c r="P73" i="30" s="1"/>
  <c r="M73" i="30"/>
  <c r="N73" i="30"/>
  <c r="L72" i="30"/>
  <c r="O72" i="30" s="1"/>
  <c r="P72" i="30" s="1"/>
  <c r="M72" i="30"/>
  <c r="N72" i="30"/>
  <c r="L71" i="30"/>
  <c r="O71" i="30" s="1"/>
  <c r="P71" i="30" s="1"/>
  <c r="M71" i="30"/>
  <c r="N71" i="30"/>
  <c r="L70" i="30"/>
  <c r="O70" i="30" s="1"/>
  <c r="P70" i="30" s="1"/>
  <c r="M70" i="30"/>
  <c r="N70" i="30"/>
  <c r="L69" i="30"/>
  <c r="O69" i="30" s="1"/>
  <c r="P69" i="30" s="1"/>
  <c r="M69" i="30"/>
  <c r="N69" i="30"/>
  <c r="E7" i="32"/>
  <c r="L68" i="30"/>
  <c r="O68" i="30" s="1"/>
  <c r="P68" i="30" s="1"/>
  <c r="M68" i="30"/>
  <c r="N68" i="30"/>
  <c r="L67" i="30"/>
  <c r="O67" i="30" s="1"/>
  <c r="P67" i="30" s="1"/>
  <c r="M67" i="30"/>
  <c r="N67" i="30"/>
  <c r="L66" i="30"/>
  <c r="O66" i="30" s="1"/>
  <c r="P66" i="30" s="1"/>
  <c r="M66" i="30"/>
  <c r="N66" i="30"/>
  <c r="L65" i="30"/>
  <c r="O65" i="30" s="1"/>
  <c r="P65" i="30" s="1"/>
  <c r="M65" i="30"/>
  <c r="N65" i="30"/>
  <c r="L64" i="30"/>
  <c r="O64" i="30" s="1"/>
  <c r="P64" i="30" s="1"/>
  <c r="M64" i="30"/>
  <c r="N64" i="30"/>
  <c r="E6" i="32"/>
  <c r="L63" i="30"/>
  <c r="O63" i="30" s="1"/>
  <c r="P63" i="30" s="1"/>
  <c r="M63" i="30"/>
  <c r="N63" i="30"/>
  <c r="L62" i="30"/>
  <c r="O62" i="30" s="1"/>
  <c r="P62" i="30" s="1"/>
  <c r="M62" i="30"/>
  <c r="N62" i="30"/>
  <c r="L61" i="30"/>
  <c r="O61" i="30" s="1"/>
  <c r="P61" i="30" s="1"/>
  <c r="M61" i="30"/>
  <c r="N61" i="30"/>
  <c r="L60" i="30"/>
  <c r="O60" i="30" s="1"/>
  <c r="P60" i="30" s="1"/>
  <c r="M60" i="30"/>
  <c r="N60" i="30"/>
  <c r="L59" i="30"/>
  <c r="O59" i="30" s="1"/>
  <c r="P59" i="30" s="1"/>
  <c r="M59" i="30"/>
  <c r="N59" i="30"/>
  <c r="L58" i="30"/>
  <c r="O58" i="30" s="1"/>
  <c r="P58" i="30" s="1"/>
  <c r="M58" i="30"/>
  <c r="N58" i="30"/>
  <c r="L57" i="30"/>
  <c r="O57" i="30" s="1"/>
  <c r="P57" i="30" s="1"/>
  <c r="M57" i="30"/>
  <c r="N57" i="30"/>
  <c r="L56" i="30"/>
  <c r="O56" i="30" s="1"/>
  <c r="P56" i="30" s="1"/>
  <c r="M56" i="30"/>
  <c r="N56" i="30"/>
  <c r="L55" i="30"/>
  <c r="O55" i="30" s="1"/>
  <c r="P55" i="30" s="1"/>
  <c r="M55" i="30"/>
  <c r="N55" i="30"/>
  <c r="L54" i="30"/>
  <c r="O54" i="30" s="1"/>
  <c r="P54" i="30" s="1"/>
  <c r="M54" i="30"/>
  <c r="N54" i="30"/>
  <c r="L53" i="30"/>
  <c r="O53" i="30" s="1"/>
  <c r="P53" i="30" s="1"/>
  <c r="M53" i="30"/>
  <c r="N53" i="30"/>
  <c r="L52" i="30"/>
  <c r="O52" i="30" s="1"/>
  <c r="P52" i="30" s="1"/>
  <c r="M52" i="30"/>
  <c r="N52" i="30"/>
  <c r="L51" i="30"/>
  <c r="O51" i="30" s="1"/>
  <c r="P51" i="30" s="1"/>
  <c r="M51" i="30"/>
  <c r="N51" i="30"/>
  <c r="L50" i="30"/>
  <c r="O50" i="30" s="1"/>
  <c r="P50" i="30" s="1"/>
  <c r="M50" i="30"/>
  <c r="N50" i="30"/>
  <c r="L49" i="30"/>
  <c r="O49" i="30" s="1"/>
  <c r="P49" i="30" s="1"/>
  <c r="M49" i="30"/>
  <c r="N49" i="30"/>
  <c r="L48" i="30"/>
  <c r="O48" i="30" s="1"/>
  <c r="P48" i="30" s="1"/>
  <c r="M48" i="30"/>
  <c r="N48" i="30"/>
  <c r="L47" i="30"/>
  <c r="O47" i="30" s="1"/>
  <c r="P47" i="30" s="1"/>
  <c r="M47" i="30"/>
  <c r="N47" i="30"/>
  <c r="L46" i="30"/>
  <c r="O46" i="30" s="1"/>
  <c r="P46" i="30" s="1"/>
  <c r="M46" i="30"/>
  <c r="N46" i="30"/>
  <c r="L45" i="30"/>
  <c r="O45" i="30" s="1"/>
  <c r="P45" i="30" s="1"/>
  <c r="M45" i="30"/>
  <c r="N45" i="30"/>
  <c r="E5" i="32"/>
  <c r="L44" i="30"/>
  <c r="O44" i="30" s="1"/>
  <c r="P44" i="30" s="1"/>
  <c r="M44" i="30"/>
  <c r="N44" i="30"/>
  <c r="L43" i="30"/>
  <c r="O43" i="30" s="1"/>
  <c r="P43" i="30" s="1"/>
  <c r="M43" i="30"/>
  <c r="N43" i="30"/>
  <c r="L42" i="30"/>
  <c r="O42" i="30" s="1"/>
  <c r="P42" i="30" s="1"/>
  <c r="M42" i="30"/>
  <c r="N42" i="30"/>
  <c r="L41" i="30"/>
  <c r="O41" i="30" s="1"/>
  <c r="P41" i="30" s="1"/>
  <c r="M41" i="30"/>
  <c r="N41" i="30"/>
  <c r="L40" i="30"/>
  <c r="O40" i="30" s="1"/>
  <c r="P40" i="30" s="1"/>
  <c r="M40" i="30"/>
  <c r="N40" i="30"/>
  <c r="L39" i="30"/>
  <c r="O39" i="30" s="1"/>
  <c r="P39" i="30" s="1"/>
  <c r="M39" i="30"/>
  <c r="N39" i="30"/>
  <c r="L38" i="30"/>
  <c r="O38" i="30" s="1"/>
  <c r="P38" i="30" s="1"/>
  <c r="M38" i="30"/>
  <c r="N38" i="30"/>
  <c r="L37" i="30"/>
  <c r="O37" i="30" s="1"/>
  <c r="P37" i="30" s="1"/>
  <c r="M37" i="30"/>
  <c r="N37" i="30"/>
  <c r="L36" i="30"/>
  <c r="O36" i="30" s="1"/>
  <c r="P36" i="30" s="1"/>
  <c r="M36" i="30"/>
  <c r="N36" i="30"/>
  <c r="L35" i="30"/>
  <c r="O35" i="30" s="1"/>
  <c r="P35" i="30" s="1"/>
  <c r="M35" i="30"/>
  <c r="N35" i="30"/>
  <c r="L34" i="30"/>
  <c r="O34" i="30" s="1"/>
  <c r="P34" i="30" s="1"/>
  <c r="M34" i="30"/>
  <c r="N34" i="30"/>
  <c r="L33" i="30"/>
  <c r="O33" i="30" s="1"/>
  <c r="P33" i="30" s="1"/>
  <c r="M33" i="30"/>
  <c r="N33" i="30"/>
  <c r="E4" i="32"/>
  <c r="L32" i="30"/>
  <c r="O32" i="30" s="1"/>
  <c r="P32" i="30" s="1"/>
  <c r="M32" i="30"/>
  <c r="N32" i="30"/>
  <c r="L31" i="30"/>
  <c r="O31" i="30" s="1"/>
  <c r="P31" i="30" s="1"/>
  <c r="M31" i="30"/>
  <c r="N31" i="30"/>
  <c r="L30" i="30"/>
  <c r="O30" i="30" s="1"/>
  <c r="P30" i="30" s="1"/>
  <c r="M30" i="30"/>
  <c r="N30" i="30"/>
  <c r="L29" i="30"/>
  <c r="O29" i="30" s="1"/>
  <c r="P29" i="30" s="1"/>
  <c r="M29" i="30"/>
  <c r="N29" i="30"/>
  <c r="L28" i="30"/>
  <c r="O28" i="30" s="1"/>
  <c r="P28" i="30" s="1"/>
  <c r="M28" i="30"/>
  <c r="N28" i="30"/>
  <c r="L27" i="30"/>
  <c r="O27" i="30" s="1"/>
  <c r="P27" i="30" s="1"/>
  <c r="M27" i="30"/>
  <c r="N27" i="30"/>
  <c r="L26" i="30"/>
  <c r="O26" i="30" s="1"/>
  <c r="P26" i="30" s="1"/>
  <c r="M26" i="30"/>
  <c r="N26" i="30"/>
  <c r="L25" i="30"/>
  <c r="O25" i="30" s="1"/>
  <c r="P25" i="30" s="1"/>
  <c r="M25" i="30"/>
  <c r="N25" i="30"/>
  <c r="L24" i="30"/>
  <c r="O24" i="30" s="1"/>
  <c r="P24" i="30" s="1"/>
  <c r="M24" i="30"/>
  <c r="N24" i="30"/>
  <c r="L23" i="30"/>
  <c r="O23" i="30" s="1"/>
  <c r="P23" i="30" s="1"/>
  <c r="M23" i="30"/>
  <c r="N23" i="30"/>
  <c r="L22" i="30"/>
  <c r="O22" i="30" s="1"/>
  <c r="P22" i="30" s="1"/>
  <c r="M22" i="30"/>
  <c r="N22" i="30"/>
  <c r="L21" i="30"/>
  <c r="O21" i="30" s="1"/>
  <c r="P21" i="30" s="1"/>
  <c r="M21" i="30"/>
  <c r="N21" i="30"/>
  <c r="L20" i="30"/>
  <c r="O20" i="30" s="1"/>
  <c r="P20" i="30" s="1"/>
  <c r="M20" i="30"/>
  <c r="N20" i="30"/>
  <c r="L19" i="30"/>
  <c r="O19" i="30" s="1"/>
  <c r="P19" i="30" s="1"/>
  <c r="M19" i="30"/>
  <c r="N19" i="30"/>
  <c r="L18" i="30"/>
  <c r="O18" i="30" s="1"/>
  <c r="P18" i="30" s="1"/>
  <c r="M18" i="30"/>
  <c r="N18" i="30"/>
  <c r="L17" i="30"/>
  <c r="O17" i="30" s="1"/>
  <c r="P17" i="30" s="1"/>
  <c r="M17" i="30"/>
  <c r="N17" i="30"/>
  <c r="L16" i="30"/>
  <c r="O16" i="30" s="1"/>
  <c r="P16" i="30" s="1"/>
  <c r="M16" i="30"/>
  <c r="N16" i="30"/>
  <c r="L15" i="30"/>
  <c r="O15" i="30" s="1"/>
  <c r="P15" i="30" s="1"/>
  <c r="M15" i="30"/>
  <c r="N15" i="30"/>
  <c r="L14" i="30"/>
  <c r="O14" i="30" s="1"/>
  <c r="P14" i="30" s="1"/>
  <c r="M14" i="30"/>
  <c r="N14" i="30"/>
  <c r="L13" i="30"/>
  <c r="O13" i="30" s="1"/>
  <c r="P13" i="30" s="1"/>
  <c r="M13" i="30"/>
  <c r="N13" i="30"/>
  <c r="L12" i="30"/>
  <c r="O12" i="30" s="1"/>
  <c r="P12" i="30" s="1"/>
  <c r="M12" i="30"/>
  <c r="N12" i="30"/>
  <c r="L11" i="30"/>
  <c r="O11" i="30" s="1"/>
  <c r="P11" i="30" s="1"/>
  <c r="M11" i="30"/>
  <c r="N11" i="30"/>
  <c r="L10" i="30"/>
  <c r="O10" i="30" s="1"/>
  <c r="P10" i="30" s="1"/>
  <c r="M10" i="30"/>
  <c r="N10" i="30"/>
  <c r="L9" i="30"/>
  <c r="O9" i="30" s="1"/>
  <c r="P9" i="30" s="1"/>
  <c r="M9" i="30"/>
  <c r="N9" i="30"/>
  <c r="L8" i="30"/>
  <c r="O8" i="30" s="1"/>
  <c r="P8" i="30" s="1"/>
  <c r="M8" i="30"/>
  <c r="N8" i="30"/>
  <c r="L7" i="30"/>
  <c r="O7" i="30" s="1"/>
  <c r="P7" i="30" s="1"/>
  <c r="M7" i="30"/>
  <c r="N7" i="30"/>
  <c r="J23" i="32"/>
  <c r="J171" i="30"/>
  <c r="K171" i="30"/>
  <c r="Q171" i="30"/>
  <c r="J169" i="30"/>
  <c r="K169" i="30"/>
  <c r="Q169" i="30"/>
  <c r="J170" i="30"/>
  <c r="K170" i="30"/>
  <c r="Q170" i="30"/>
  <c r="J146" i="30"/>
  <c r="K146" i="30"/>
  <c r="Q146" i="30"/>
  <c r="J147" i="30"/>
  <c r="K147" i="30"/>
  <c r="Q147" i="30"/>
  <c r="J148" i="30"/>
  <c r="K148" i="30"/>
  <c r="Q148" i="30"/>
  <c r="J149" i="30"/>
  <c r="K149" i="30"/>
  <c r="Q149" i="30"/>
  <c r="J150" i="30"/>
  <c r="K150" i="30"/>
  <c r="Q150" i="30"/>
  <c r="J151" i="30"/>
  <c r="K151" i="30"/>
  <c r="Q151" i="30"/>
  <c r="J152" i="30"/>
  <c r="K152" i="30"/>
  <c r="Q152" i="30"/>
  <c r="J153" i="30"/>
  <c r="K153" i="30"/>
  <c r="Q153" i="30"/>
  <c r="J154" i="30"/>
  <c r="K154" i="30"/>
  <c r="Q154" i="30"/>
  <c r="J155" i="30"/>
  <c r="K155" i="30"/>
  <c r="Q155" i="30"/>
  <c r="J156" i="30"/>
  <c r="K156" i="30"/>
  <c r="Q156" i="30"/>
  <c r="J157" i="30"/>
  <c r="K157" i="30"/>
  <c r="Q157" i="30"/>
  <c r="J158" i="30"/>
  <c r="K158" i="30"/>
  <c r="Q158" i="30"/>
  <c r="J159" i="30"/>
  <c r="K159" i="30"/>
  <c r="Q159" i="30"/>
  <c r="J160" i="30"/>
  <c r="K160" i="30"/>
  <c r="Q160" i="30"/>
  <c r="J161" i="30"/>
  <c r="K161" i="30"/>
  <c r="Q161" i="30"/>
  <c r="J162" i="30"/>
  <c r="K162" i="30"/>
  <c r="Q162" i="30"/>
  <c r="J163" i="30"/>
  <c r="K163" i="30"/>
  <c r="Q163" i="30"/>
  <c r="J164" i="30"/>
  <c r="K164" i="30"/>
  <c r="Q164" i="30"/>
  <c r="J165" i="30"/>
  <c r="K165" i="30"/>
  <c r="Q165" i="30"/>
  <c r="J166" i="30"/>
  <c r="K166" i="30"/>
  <c r="Q166" i="30"/>
  <c r="J167" i="30"/>
  <c r="K167" i="30"/>
  <c r="Q167" i="30"/>
  <c r="J168" i="30"/>
  <c r="K168" i="30"/>
  <c r="Q168" i="30"/>
  <c r="J103" i="30"/>
  <c r="K103" i="30"/>
  <c r="Q103" i="30"/>
  <c r="J104" i="30"/>
  <c r="K104" i="30"/>
  <c r="Q104" i="30"/>
  <c r="J105" i="30"/>
  <c r="K105" i="30"/>
  <c r="Q105" i="30"/>
  <c r="J106" i="30"/>
  <c r="K106" i="30"/>
  <c r="Q106" i="30"/>
  <c r="J107" i="30"/>
  <c r="K107" i="30"/>
  <c r="Q107" i="30"/>
  <c r="J108" i="30"/>
  <c r="K108" i="30"/>
  <c r="Q108" i="30"/>
  <c r="J109" i="30"/>
  <c r="K109" i="30"/>
  <c r="Q109" i="30"/>
  <c r="J110" i="30"/>
  <c r="K110" i="30"/>
  <c r="Q110" i="30"/>
  <c r="J111" i="30"/>
  <c r="K111" i="30"/>
  <c r="Q111" i="30"/>
  <c r="J112" i="30"/>
  <c r="K112" i="30"/>
  <c r="Q112" i="30"/>
  <c r="J113" i="30"/>
  <c r="K113" i="30"/>
  <c r="Q113" i="30"/>
  <c r="J114" i="30"/>
  <c r="K114" i="30"/>
  <c r="Q114" i="30"/>
  <c r="J115" i="30"/>
  <c r="K115" i="30"/>
  <c r="Q115" i="30"/>
  <c r="J116" i="30"/>
  <c r="K116" i="30"/>
  <c r="Q116" i="30"/>
  <c r="J117" i="30"/>
  <c r="K117" i="30"/>
  <c r="Q117" i="30"/>
  <c r="J118" i="30"/>
  <c r="K118" i="30"/>
  <c r="Q118" i="30"/>
  <c r="J119" i="30"/>
  <c r="K119" i="30"/>
  <c r="Q119" i="30"/>
  <c r="J120" i="30"/>
  <c r="K120" i="30"/>
  <c r="Q120" i="30"/>
  <c r="J121" i="30"/>
  <c r="K121" i="30"/>
  <c r="Q121" i="30"/>
  <c r="J122" i="30"/>
  <c r="K122" i="30"/>
  <c r="Q122" i="30"/>
  <c r="J123" i="30"/>
  <c r="K123" i="30"/>
  <c r="Q123" i="30"/>
  <c r="J124" i="30"/>
  <c r="K124" i="30"/>
  <c r="Q124" i="30"/>
  <c r="J125" i="30"/>
  <c r="K125" i="30"/>
  <c r="Q125" i="30"/>
  <c r="J126" i="30"/>
  <c r="K126" i="30"/>
  <c r="Q126" i="30"/>
  <c r="J127" i="30"/>
  <c r="K127" i="30"/>
  <c r="Q127" i="30"/>
  <c r="J128" i="30"/>
  <c r="K128" i="30"/>
  <c r="Q128" i="30"/>
  <c r="J129" i="30"/>
  <c r="K129" i="30"/>
  <c r="Q129" i="30"/>
  <c r="J130" i="30"/>
  <c r="K130" i="30"/>
  <c r="Q130" i="30"/>
  <c r="J131" i="30"/>
  <c r="K131" i="30"/>
  <c r="Q131" i="30"/>
  <c r="J132" i="30"/>
  <c r="K132" i="30"/>
  <c r="Q132" i="30"/>
  <c r="J133" i="30"/>
  <c r="K133" i="30"/>
  <c r="Q133" i="30"/>
  <c r="J134" i="30"/>
  <c r="K134" i="30"/>
  <c r="Q134" i="30"/>
  <c r="J135" i="30"/>
  <c r="K135" i="30"/>
  <c r="Q135" i="30"/>
  <c r="J136" i="30"/>
  <c r="K136" i="30"/>
  <c r="Q136" i="30"/>
  <c r="J137" i="30"/>
  <c r="K137" i="30"/>
  <c r="Q137" i="30"/>
  <c r="J138" i="30"/>
  <c r="K138" i="30"/>
  <c r="Q138" i="30"/>
  <c r="J139" i="30"/>
  <c r="K139" i="30"/>
  <c r="Q139" i="30"/>
  <c r="J140" i="30"/>
  <c r="K140" i="30"/>
  <c r="Q140" i="30"/>
  <c r="J141" i="30"/>
  <c r="K141" i="30"/>
  <c r="Q141" i="30"/>
  <c r="J142" i="30"/>
  <c r="K142" i="30"/>
  <c r="Q142" i="30"/>
  <c r="J143" i="30"/>
  <c r="K143" i="30"/>
  <c r="Q143" i="30"/>
  <c r="J144" i="30"/>
  <c r="K144" i="30"/>
  <c r="Q144" i="30"/>
  <c r="J145" i="30"/>
  <c r="K145" i="30"/>
  <c r="Q145" i="30"/>
  <c r="G36" i="29"/>
  <c r="G35" i="29"/>
  <c r="G34" i="29"/>
  <c r="G33" i="29"/>
  <c r="G32" i="29"/>
  <c r="G31" i="29"/>
  <c r="G30" i="29"/>
  <c r="G29" i="29"/>
  <c r="G28" i="29"/>
  <c r="J65" i="30"/>
  <c r="K65" i="30"/>
  <c r="A13" i="35"/>
  <c r="A14" i="35"/>
  <c r="A15" i="35"/>
  <c r="A16" i="35"/>
  <c r="A19" i="35"/>
  <c r="A18" i="35"/>
  <c r="A17" i="35"/>
  <c r="Q65" i="30"/>
  <c r="J66" i="30"/>
  <c r="K66" i="30"/>
  <c r="Q66" i="30"/>
  <c r="J67" i="30"/>
  <c r="K67" i="30"/>
  <c r="Q67" i="30"/>
  <c r="J68" i="30"/>
  <c r="K68" i="30"/>
  <c r="Q68" i="30"/>
  <c r="J69" i="30"/>
  <c r="K69" i="30"/>
  <c r="Q69" i="30"/>
  <c r="J70" i="30"/>
  <c r="K70" i="30"/>
  <c r="Q70" i="30"/>
  <c r="J71" i="30"/>
  <c r="K71" i="30"/>
  <c r="Q71" i="30"/>
  <c r="J72" i="30"/>
  <c r="K72" i="30"/>
  <c r="Q72" i="30"/>
  <c r="J73" i="30"/>
  <c r="K73" i="30"/>
  <c r="Q73" i="30"/>
  <c r="J74" i="30"/>
  <c r="K74" i="30"/>
  <c r="Q74" i="30"/>
  <c r="J75" i="30"/>
  <c r="K75" i="30"/>
  <c r="Q75" i="30"/>
  <c r="J76" i="30"/>
  <c r="K76" i="30"/>
  <c r="Q76" i="30"/>
  <c r="J77" i="30"/>
  <c r="K77" i="30"/>
  <c r="Q77" i="30"/>
  <c r="J78" i="30"/>
  <c r="K78" i="30"/>
  <c r="Q78" i="30"/>
  <c r="J79" i="30"/>
  <c r="K79" i="30"/>
  <c r="Q79" i="30"/>
  <c r="J80" i="30"/>
  <c r="K80" i="30"/>
  <c r="Q80" i="30"/>
  <c r="J81" i="30"/>
  <c r="K81" i="30"/>
  <c r="Q81" i="30"/>
  <c r="J82" i="30"/>
  <c r="K82" i="30"/>
  <c r="Q82" i="30"/>
  <c r="J83" i="30"/>
  <c r="K83" i="30"/>
  <c r="Q83" i="30"/>
  <c r="J84" i="30"/>
  <c r="K84" i="30"/>
  <c r="Q84" i="30"/>
  <c r="J85" i="30"/>
  <c r="K85" i="30"/>
  <c r="Q85" i="30"/>
  <c r="J86" i="30"/>
  <c r="K86" i="30"/>
  <c r="Q86" i="30"/>
  <c r="J87" i="30"/>
  <c r="K87" i="30"/>
  <c r="Q87" i="30"/>
  <c r="J88" i="30"/>
  <c r="K88" i="30"/>
  <c r="Q88" i="30"/>
  <c r="J89" i="30"/>
  <c r="K89" i="30"/>
  <c r="Q89" i="30"/>
  <c r="J90" i="30"/>
  <c r="K90" i="30"/>
  <c r="Q90" i="30"/>
  <c r="J91" i="30"/>
  <c r="K91" i="30"/>
  <c r="Q91" i="30"/>
  <c r="J92" i="30"/>
  <c r="K92" i="30"/>
  <c r="Q92" i="30"/>
  <c r="J93" i="30"/>
  <c r="K93" i="30"/>
  <c r="Q93" i="30"/>
  <c r="J94" i="30"/>
  <c r="K94" i="30"/>
  <c r="Q94" i="30"/>
  <c r="J95" i="30"/>
  <c r="K95" i="30"/>
  <c r="Q95" i="30"/>
  <c r="J96" i="30"/>
  <c r="K96" i="30"/>
  <c r="Q96" i="30"/>
  <c r="J97" i="30"/>
  <c r="K97" i="30"/>
  <c r="Q97" i="30"/>
  <c r="J98" i="30"/>
  <c r="K98" i="30"/>
  <c r="Q98" i="30"/>
  <c r="J99" i="30"/>
  <c r="K99" i="30"/>
  <c r="Q99" i="30"/>
  <c r="J100" i="30"/>
  <c r="K100" i="30"/>
  <c r="Q100" i="30"/>
  <c r="J101" i="30"/>
  <c r="K101" i="30"/>
  <c r="Q101" i="30"/>
  <c r="J102" i="30"/>
  <c r="K102" i="30"/>
  <c r="Q102" i="30"/>
  <c r="J5" i="30"/>
  <c r="K5" i="30"/>
  <c r="A6" i="35"/>
  <c r="A7" i="35"/>
  <c r="A8" i="35"/>
  <c r="A9" i="35"/>
  <c r="A12" i="35"/>
  <c r="A11" i="35"/>
  <c r="A10" i="35"/>
  <c r="Q5" i="30"/>
  <c r="J6" i="30"/>
  <c r="K6" i="30"/>
  <c r="Q6" i="30"/>
  <c r="J7" i="30"/>
  <c r="K7" i="30"/>
  <c r="Q7" i="30"/>
  <c r="J8" i="30"/>
  <c r="K8" i="30"/>
  <c r="Q8" i="30"/>
  <c r="J9" i="30"/>
  <c r="K9" i="30"/>
  <c r="Q9" i="30"/>
  <c r="J10" i="30"/>
  <c r="K10" i="30"/>
  <c r="Q10" i="30"/>
  <c r="J11" i="30"/>
  <c r="K11" i="30"/>
  <c r="Q11" i="30"/>
  <c r="J12" i="30"/>
  <c r="K12" i="30"/>
  <c r="Q12" i="30"/>
  <c r="J13" i="30"/>
  <c r="K13" i="30"/>
  <c r="Q13" i="30"/>
  <c r="J14" i="30"/>
  <c r="K14" i="30"/>
  <c r="Q14" i="30"/>
  <c r="J15" i="30"/>
  <c r="K15" i="30"/>
  <c r="Q15" i="30"/>
  <c r="J16" i="30"/>
  <c r="K16" i="30"/>
  <c r="Q16" i="30"/>
  <c r="J17" i="30"/>
  <c r="K17" i="30"/>
  <c r="Q17" i="30"/>
  <c r="J18" i="30"/>
  <c r="K18" i="30"/>
  <c r="Q18" i="30"/>
  <c r="J19" i="30"/>
  <c r="K19" i="30"/>
  <c r="Q19" i="30"/>
  <c r="J20" i="30"/>
  <c r="K20" i="30"/>
  <c r="Q20" i="30"/>
  <c r="J21" i="30"/>
  <c r="K21" i="30"/>
  <c r="Q21" i="30"/>
  <c r="J22" i="30"/>
  <c r="K22" i="30"/>
  <c r="Q22" i="30"/>
  <c r="J23" i="30"/>
  <c r="K23" i="30"/>
  <c r="Q23" i="30"/>
  <c r="J24" i="30"/>
  <c r="K24" i="30"/>
  <c r="Q24" i="30"/>
  <c r="J25" i="30"/>
  <c r="K25" i="30"/>
  <c r="Q25" i="30"/>
  <c r="J26" i="30"/>
  <c r="K26" i="30"/>
  <c r="Q26" i="30"/>
  <c r="J27" i="30"/>
  <c r="K27" i="30"/>
  <c r="Q27" i="30"/>
  <c r="J28" i="30"/>
  <c r="K28" i="30"/>
  <c r="Q28" i="30"/>
  <c r="J29" i="30"/>
  <c r="K29" i="30"/>
  <c r="Q29" i="30"/>
  <c r="J30" i="30"/>
  <c r="K30" i="30"/>
  <c r="Q30" i="30"/>
  <c r="J31" i="30"/>
  <c r="K31" i="30"/>
  <c r="Q31" i="30"/>
  <c r="J32" i="30"/>
  <c r="K32" i="30"/>
  <c r="Q32" i="30"/>
  <c r="J33" i="30"/>
  <c r="K33" i="30"/>
  <c r="Q33" i="30"/>
  <c r="J34" i="30"/>
  <c r="K34" i="30"/>
  <c r="Q34" i="30"/>
  <c r="J35" i="30"/>
  <c r="K35" i="30"/>
  <c r="Q35" i="30"/>
  <c r="J36" i="30"/>
  <c r="K36" i="30"/>
  <c r="Q36" i="30"/>
  <c r="J37" i="30"/>
  <c r="K37" i="30"/>
  <c r="Q37" i="30"/>
  <c r="J38" i="30"/>
  <c r="K38" i="30"/>
  <c r="Q38" i="30"/>
  <c r="J39" i="30"/>
  <c r="K39" i="30"/>
  <c r="Q39" i="30"/>
  <c r="J40" i="30"/>
  <c r="K40" i="30"/>
  <c r="Q40" i="30"/>
  <c r="J41" i="30"/>
  <c r="K41" i="30"/>
  <c r="Q41" i="30"/>
  <c r="J42" i="30"/>
  <c r="K42" i="30"/>
  <c r="Q42" i="30"/>
  <c r="J43" i="30"/>
  <c r="K43" i="30"/>
  <c r="Q43" i="30"/>
  <c r="J44" i="30"/>
  <c r="K44" i="30"/>
  <c r="Q44" i="30"/>
  <c r="J45" i="30"/>
  <c r="K45" i="30"/>
  <c r="Q45" i="30"/>
  <c r="J46" i="30"/>
  <c r="K46" i="30"/>
  <c r="Q46" i="30"/>
  <c r="J47" i="30"/>
  <c r="K47" i="30"/>
  <c r="Q47" i="30"/>
  <c r="J48" i="30"/>
  <c r="K48" i="30"/>
  <c r="Q48" i="30"/>
  <c r="J49" i="30"/>
  <c r="K49" i="30"/>
  <c r="Q49" i="30"/>
  <c r="J50" i="30"/>
  <c r="K50" i="30"/>
  <c r="Q50" i="30"/>
  <c r="J51" i="30"/>
  <c r="K51" i="30"/>
  <c r="Q51" i="30"/>
  <c r="J52" i="30"/>
  <c r="K52" i="30"/>
  <c r="Q52" i="30"/>
  <c r="J53" i="30"/>
  <c r="K53" i="30"/>
  <c r="Q53" i="30"/>
  <c r="J54" i="30"/>
  <c r="K54" i="30"/>
  <c r="Q54" i="30"/>
  <c r="J55" i="30"/>
  <c r="K55" i="30"/>
  <c r="Q55" i="30"/>
  <c r="J56" i="30"/>
  <c r="K56" i="30"/>
  <c r="Q56" i="30"/>
  <c r="J57" i="30"/>
  <c r="K57" i="30"/>
  <c r="Q57" i="30"/>
  <c r="J58" i="30"/>
  <c r="K58" i="30"/>
  <c r="Q58" i="30"/>
  <c r="J59" i="30"/>
  <c r="K59" i="30"/>
  <c r="Q59" i="30"/>
  <c r="J60" i="30"/>
  <c r="K60" i="30"/>
  <c r="Q60" i="30"/>
  <c r="J61" i="30"/>
  <c r="K61" i="30"/>
  <c r="Q61" i="30"/>
  <c r="J62" i="30"/>
  <c r="K62" i="30"/>
  <c r="Q62" i="30"/>
  <c r="J63" i="30"/>
  <c r="K63" i="30"/>
  <c r="Q63" i="30"/>
  <c r="J64" i="30"/>
  <c r="K64" i="30"/>
  <c r="Q64" i="30"/>
  <c r="A64" i="37"/>
  <c r="H64" i="37"/>
  <c r="A63" i="37"/>
  <c r="B64" i="37"/>
  <c r="G4" i="29"/>
  <c r="I4" i="29"/>
  <c r="G5" i="29"/>
  <c r="I5" i="29"/>
  <c r="G6" i="29"/>
  <c r="I6" i="29"/>
  <c r="G7" i="29"/>
  <c r="I7" i="29"/>
  <c r="G8" i="29"/>
  <c r="I8" i="29"/>
  <c r="G9" i="29"/>
  <c r="I9" i="29"/>
  <c r="G10" i="29"/>
  <c r="I10" i="29"/>
  <c r="G11" i="29"/>
  <c r="I11" i="29"/>
  <c r="G12" i="29"/>
  <c r="I12" i="29"/>
  <c r="G13" i="29"/>
  <c r="I13" i="29"/>
  <c r="G14" i="29"/>
  <c r="I14" i="29"/>
  <c r="G15" i="29"/>
  <c r="I15" i="29"/>
  <c r="G16" i="29"/>
  <c r="I16" i="29"/>
  <c r="G17" i="29"/>
  <c r="I17" i="29"/>
  <c r="G18" i="29"/>
  <c r="I18" i="29"/>
  <c r="G19" i="29"/>
  <c r="I19" i="29"/>
  <c r="G20" i="29"/>
  <c r="I20" i="29"/>
  <c r="G21" i="29"/>
  <c r="I21" i="29"/>
  <c r="G22" i="29"/>
  <c r="I22" i="29"/>
  <c r="G23" i="29"/>
  <c r="I23" i="29"/>
  <c r="G24" i="29"/>
  <c r="I24" i="29"/>
  <c r="G25" i="29"/>
  <c r="I25" i="29"/>
  <c r="G26" i="29"/>
  <c r="I26" i="29"/>
  <c r="G27" i="29"/>
  <c r="I27" i="29"/>
  <c r="I28" i="29"/>
  <c r="I29" i="29"/>
  <c r="I30" i="29"/>
  <c r="I31" i="29"/>
  <c r="I5" i="4"/>
  <c r="I4" i="4"/>
  <c r="H5" i="4"/>
  <c r="H4" i="4"/>
  <c r="G5" i="4"/>
  <c r="G4" i="4"/>
  <c r="F5" i="4"/>
  <c r="F4" i="4"/>
  <c r="Q298" i="30"/>
  <c r="J298" i="30"/>
  <c r="Q297" i="30"/>
  <c r="J297" i="30"/>
  <c r="Q296" i="30"/>
  <c r="J296" i="30"/>
  <c r="Q295" i="30"/>
  <c r="J295" i="30"/>
  <c r="Q294" i="30"/>
  <c r="J294" i="30"/>
  <c r="Q293" i="30"/>
  <c r="J293" i="30"/>
  <c r="Q292" i="30"/>
  <c r="J292" i="30"/>
  <c r="Q291" i="30"/>
  <c r="J291" i="30"/>
  <c r="Q290" i="30"/>
  <c r="J290" i="30"/>
  <c r="Q289" i="30"/>
  <c r="J289" i="30"/>
  <c r="Q288" i="30"/>
  <c r="J288" i="30"/>
  <c r="Q287" i="30"/>
  <c r="J287" i="30"/>
  <c r="Q286" i="30"/>
  <c r="J286" i="30"/>
  <c r="Q285" i="30"/>
  <c r="J285" i="30"/>
  <c r="Q284" i="30"/>
  <c r="J284" i="30"/>
  <c r="Q283" i="30"/>
  <c r="J283" i="30"/>
  <c r="Q282" i="30"/>
  <c r="J282" i="30"/>
  <c r="Q281" i="30"/>
  <c r="J281" i="30"/>
  <c r="Q280" i="30"/>
  <c r="J280" i="30"/>
  <c r="Q279" i="30"/>
  <c r="J279" i="30"/>
  <c r="Q278" i="30"/>
  <c r="J278" i="30"/>
  <c r="Q277" i="30"/>
  <c r="J277" i="30"/>
  <c r="Q276" i="30"/>
  <c r="J276" i="30"/>
  <c r="Q275" i="30"/>
  <c r="J275" i="30"/>
  <c r="Q274" i="30"/>
  <c r="J274" i="30"/>
  <c r="Q273" i="30"/>
  <c r="J273" i="30"/>
  <c r="Q272" i="30"/>
  <c r="J272" i="30"/>
  <c r="Q271" i="30"/>
  <c r="J271" i="30"/>
  <c r="Q270" i="30"/>
  <c r="J270" i="30"/>
  <c r="Q269" i="30"/>
  <c r="J269" i="30"/>
  <c r="Q268" i="30"/>
  <c r="J268" i="30"/>
  <c r="Q267" i="30"/>
  <c r="J267" i="30"/>
  <c r="Q266" i="30"/>
  <c r="J266" i="30"/>
  <c r="Q265" i="30"/>
  <c r="J265" i="30"/>
  <c r="Q264" i="30"/>
  <c r="J264" i="30"/>
  <c r="Q263" i="30"/>
  <c r="J263" i="30"/>
  <c r="Q262" i="30"/>
  <c r="J262" i="30"/>
  <c r="Q261" i="30"/>
  <c r="J261" i="30"/>
  <c r="Q260" i="30"/>
  <c r="J260" i="30"/>
  <c r="Q259" i="30"/>
  <c r="J259" i="30"/>
  <c r="Q258" i="30"/>
  <c r="J258" i="30"/>
  <c r="Q257" i="30"/>
  <c r="J257" i="30"/>
  <c r="Q256" i="30"/>
  <c r="J256" i="30"/>
  <c r="Q255" i="30"/>
  <c r="J255" i="30"/>
  <c r="Q254" i="30"/>
  <c r="J254" i="30"/>
  <c r="Q253" i="30"/>
  <c r="J253" i="30"/>
  <c r="Q252" i="30"/>
  <c r="J252" i="30"/>
  <c r="Q251" i="30"/>
  <c r="J251" i="30"/>
  <c r="Q250" i="30"/>
  <c r="J250" i="30"/>
  <c r="Q249" i="30"/>
  <c r="J249" i="30"/>
  <c r="Q248" i="30"/>
  <c r="J248" i="30"/>
  <c r="Q247" i="30"/>
  <c r="J247" i="30"/>
  <c r="Q246" i="30"/>
  <c r="J246" i="30"/>
  <c r="Q245" i="30"/>
  <c r="J245" i="30"/>
  <c r="Q244" i="30"/>
  <c r="J244" i="30"/>
  <c r="Q243" i="30"/>
  <c r="J243" i="30"/>
  <c r="Q242" i="30"/>
  <c r="J242" i="30"/>
  <c r="Q241" i="30"/>
  <c r="J241" i="30"/>
  <c r="Q240" i="30"/>
  <c r="J240" i="30"/>
  <c r="Q239" i="30"/>
  <c r="J239" i="30"/>
  <c r="Q238" i="30"/>
  <c r="J238" i="30"/>
  <c r="Q237" i="30"/>
  <c r="J237" i="30"/>
  <c r="Q236" i="30"/>
  <c r="J236" i="30"/>
  <c r="Q235" i="30"/>
  <c r="J235" i="30"/>
  <c r="Q234" i="30"/>
  <c r="J234" i="30"/>
  <c r="Q233" i="30"/>
  <c r="J233" i="30"/>
  <c r="Q232" i="30"/>
  <c r="J232" i="30"/>
  <c r="Q231" i="30"/>
  <c r="J231" i="30"/>
  <c r="Q230" i="30"/>
  <c r="J230" i="30"/>
  <c r="Q229" i="30"/>
  <c r="J229" i="30"/>
  <c r="Q228" i="30"/>
  <c r="J228" i="30"/>
  <c r="Q227" i="30"/>
  <c r="J227" i="30"/>
  <c r="Q226" i="30"/>
  <c r="J226" i="30"/>
  <c r="Q225" i="30"/>
  <c r="J225" i="30"/>
  <c r="Q224" i="30"/>
  <c r="J224" i="30"/>
  <c r="Q223" i="30"/>
  <c r="J223" i="30"/>
  <c r="Q222" i="30"/>
  <c r="J222" i="30"/>
  <c r="Q221" i="30"/>
  <c r="J221" i="30"/>
  <c r="Q220" i="30"/>
  <c r="J220" i="30"/>
  <c r="Q219" i="30"/>
  <c r="J219" i="30"/>
  <c r="Q218" i="30"/>
  <c r="J218" i="30"/>
  <c r="Q217" i="30"/>
  <c r="J217" i="30"/>
  <c r="Q216" i="30"/>
  <c r="J216" i="30"/>
  <c r="Q215" i="30"/>
  <c r="J215" i="30"/>
  <c r="Q214" i="30"/>
  <c r="J214" i="30"/>
  <c r="Q213" i="30"/>
  <c r="J213" i="30"/>
  <c r="Q212" i="30"/>
  <c r="J212" i="30"/>
  <c r="Q211" i="30"/>
  <c r="J211" i="30"/>
  <c r="Q210" i="30"/>
  <c r="J210" i="30"/>
  <c r="Q209" i="30"/>
  <c r="J209" i="30"/>
  <c r="Q208" i="30"/>
  <c r="J208" i="30"/>
  <c r="Q207" i="30"/>
  <c r="J207" i="30"/>
  <c r="Q206" i="30"/>
  <c r="J206" i="30"/>
  <c r="Q205" i="30"/>
  <c r="J205" i="30"/>
  <c r="Q204" i="30"/>
  <c r="J204" i="30"/>
  <c r="Q203" i="30"/>
  <c r="J203" i="30"/>
  <c r="Q202" i="30"/>
  <c r="J202" i="30"/>
  <c r="Q201" i="30"/>
  <c r="J201" i="30"/>
  <c r="Q200" i="30"/>
  <c r="J200" i="30"/>
  <c r="Q199" i="30"/>
  <c r="J199" i="30"/>
  <c r="Q198" i="30"/>
  <c r="J198" i="30"/>
  <c r="Q197" i="30"/>
  <c r="J197" i="30"/>
  <c r="Q196" i="30"/>
  <c r="J196" i="30"/>
  <c r="Q195" i="30"/>
  <c r="J195" i="30"/>
  <c r="Q194" i="30"/>
  <c r="J194" i="30"/>
  <c r="Q193" i="30"/>
  <c r="J193" i="30"/>
  <c r="Q192" i="30"/>
  <c r="J192" i="30"/>
  <c r="Q191" i="30"/>
  <c r="J191" i="30"/>
  <c r="Q190" i="30"/>
  <c r="J190" i="30"/>
  <c r="Q189" i="30"/>
  <c r="J189" i="30"/>
  <c r="Q188" i="30"/>
  <c r="J188" i="30"/>
  <c r="Q187" i="30"/>
  <c r="J187" i="30"/>
  <c r="Q186" i="30"/>
  <c r="J186" i="30"/>
  <c r="Q185" i="30"/>
  <c r="J185" i="30"/>
  <c r="Q184" i="30"/>
  <c r="J184" i="30"/>
  <c r="Q183" i="30"/>
  <c r="J183" i="30"/>
  <c r="Q182" i="30"/>
  <c r="J182" i="30"/>
  <c r="Q181" i="30"/>
  <c r="J181" i="30"/>
  <c r="Q180" i="30"/>
  <c r="J180" i="30"/>
  <c r="Q179" i="30"/>
  <c r="J179" i="30"/>
  <c r="Q178" i="30"/>
  <c r="J178" i="30"/>
  <c r="Q177" i="30"/>
  <c r="J177" i="30"/>
  <c r="Q176" i="30"/>
  <c r="J176" i="30"/>
  <c r="Q175" i="30"/>
  <c r="J175" i="30"/>
  <c r="Q174" i="30"/>
  <c r="J174" i="30"/>
  <c r="Q173" i="30"/>
  <c r="J173" i="30"/>
  <c r="Q172" i="30"/>
  <c r="J172" i="30"/>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L4" i="29"/>
  <c r="H21" i="39"/>
  <c r="H20" i="39"/>
  <c r="H18" i="39"/>
  <c r="H17" i="39"/>
  <c r="H16" i="39"/>
  <c r="H15" i="39"/>
  <c r="H14" i="39"/>
  <c r="H13" i="39"/>
  <c r="H12" i="39"/>
  <c r="H11" i="39"/>
  <c r="H10" i="39"/>
  <c r="H9" i="39"/>
  <c r="H8" i="39"/>
  <c r="H7" i="39"/>
  <c r="H6" i="39"/>
  <c r="H4" i="39"/>
  <c r="H3" i="39"/>
  <c r="C5" i="35"/>
  <c r="D5" i="35"/>
  <c r="E5" i="35"/>
  <c r="F5" i="35"/>
  <c r="G5" i="35"/>
  <c r="H5" i="35"/>
  <c r="I5" i="35"/>
  <c r="J5" i="35"/>
  <c r="K5" i="35"/>
  <c r="L5" i="35"/>
  <c r="M5" i="35"/>
  <c r="N5" i="35"/>
  <c r="O5" i="35"/>
  <c r="P5" i="35"/>
  <c r="K4" i="30"/>
  <c r="BA14" i="20"/>
  <c r="AZ14" i="20"/>
  <c r="AY14" i="20"/>
  <c r="AX14" i="20"/>
  <c r="AW14" i="20"/>
  <c r="AV14" i="20"/>
  <c r="AU14" i="20"/>
  <c r="AT14" i="20"/>
  <c r="AS14" i="20"/>
  <c r="AR14" i="20"/>
  <c r="AQ14" i="20"/>
  <c r="AP14" i="20"/>
  <c r="AO14" i="20"/>
  <c r="AN14" i="20"/>
  <c r="AM14" i="20"/>
  <c r="AL14" i="20"/>
  <c r="AK14" i="20"/>
  <c r="AJ14" i="20"/>
  <c r="AI14" i="20"/>
  <c r="AH14" i="20"/>
  <c r="AG14" i="20"/>
  <c r="H2" i="10"/>
  <c r="H5" i="10"/>
  <c r="I6" i="27"/>
  <c r="G2" i="10"/>
  <c r="G7" i="10"/>
  <c r="I5" i="27"/>
  <c r="I4" i="27"/>
  <c r="G9" i="10"/>
  <c r="G10" i="10"/>
  <c r="G12" i="10"/>
  <c r="G13" i="10"/>
  <c r="G15" i="10"/>
  <c r="G17" i="10"/>
  <c r="G18" i="10"/>
  <c r="G20" i="10"/>
  <c r="G21" i="10"/>
  <c r="G23" i="10"/>
  <c r="G24" i="10"/>
  <c r="H2" i="9"/>
  <c r="H7" i="9"/>
  <c r="H6" i="9"/>
  <c r="H8" i="9"/>
  <c r="H10" i="9"/>
  <c r="H11" i="9"/>
  <c r="H12" i="9"/>
  <c r="H14" i="9"/>
  <c r="H15" i="9"/>
  <c r="G2" i="9"/>
  <c r="G10" i="9"/>
  <c r="G12" i="9"/>
  <c r="F2" i="10"/>
  <c r="F10" i="10"/>
  <c r="F2" i="9"/>
  <c r="I3" i="27"/>
  <c r="BR66" i="3"/>
  <c r="BR45" i="3"/>
  <c r="BR35" i="3"/>
  <c r="BR126" i="3"/>
  <c r="G40" i="37"/>
  <c r="G41" i="37"/>
  <c r="H41" i="37"/>
  <c r="G42" i="37"/>
  <c r="H42" i="37"/>
  <c r="G43" i="37"/>
  <c r="H43" i="37"/>
  <c r="G44" i="37"/>
  <c r="H44" i="37"/>
  <c r="G45" i="37"/>
  <c r="H45" i="37"/>
  <c r="G46" i="37"/>
  <c r="H46" i="37"/>
  <c r="G47" i="37"/>
  <c r="H47" i="37"/>
  <c r="G48" i="37"/>
  <c r="H48" i="37"/>
  <c r="G49" i="37"/>
  <c r="H49" i="37"/>
  <c r="G50" i="37"/>
  <c r="H50" i="37"/>
  <c r="G51" i="37"/>
  <c r="H51" i="37"/>
  <c r="G52" i="37"/>
  <c r="H52" i="37"/>
  <c r="G53" i="37"/>
  <c r="H53" i="37"/>
  <c r="G54" i="37"/>
  <c r="H54" i="37"/>
  <c r="G55" i="37"/>
  <c r="H55" i="37"/>
  <c r="G56" i="37"/>
  <c r="H56" i="37"/>
  <c r="G57" i="37"/>
  <c r="H57" i="37"/>
  <c r="G58" i="37"/>
  <c r="H58" i="37"/>
  <c r="G59" i="37"/>
  <c r="H59" i="37"/>
  <c r="G60" i="37"/>
  <c r="H60" i="37"/>
  <c r="G61" i="37"/>
  <c r="H61" i="37"/>
  <c r="G62" i="37"/>
  <c r="H62"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X5" i="6"/>
  <c r="X4" i="6"/>
  <c r="S12" i="37"/>
  <c r="G5" i="33"/>
  <c r="G6" i="33"/>
  <c r="G7" i="33"/>
  <c r="G8" i="33"/>
  <c r="G9" i="33"/>
  <c r="G10" i="33"/>
  <c r="G11" i="33"/>
  <c r="G12" i="33"/>
  <c r="G13" i="33"/>
  <c r="G14" i="33"/>
  <c r="G15" i="33"/>
  <c r="G16" i="33"/>
  <c r="G17" i="33"/>
  <c r="K3" i="30"/>
  <c r="K41" i="29"/>
  <c r="S27" i="37"/>
  <c r="S21" i="37"/>
  <c r="S14" i="37"/>
  <c r="S13" i="37"/>
  <c r="S7" i="37"/>
  <c r="T10" i="37"/>
  <c r="T15" i="37"/>
  <c r="T17" i="37"/>
  <c r="T18" i="37"/>
  <c r="T22" i="37"/>
  <c r="T23" i="37"/>
  <c r="T24" i="37"/>
  <c r="T25" i="37"/>
  <c r="T26" i="37"/>
  <c r="S10" i="37"/>
  <c r="S11" i="37"/>
  <c r="S15" i="37"/>
  <c r="S17" i="37"/>
  <c r="S18" i="37"/>
  <c r="S19" i="37"/>
  <c r="S22" i="37"/>
  <c r="S23" i="37"/>
  <c r="S24" i="37"/>
  <c r="S25" i="37"/>
  <c r="S26" i="37"/>
  <c r="S4" i="37"/>
  <c r="U27" i="37"/>
  <c r="Q27" i="37"/>
  <c r="R27" i="37"/>
  <c r="U26" i="37"/>
  <c r="Q26" i="37"/>
  <c r="R26" i="37"/>
  <c r="U5" i="37"/>
  <c r="U6" i="37"/>
  <c r="U7" i="37"/>
  <c r="U8" i="37"/>
  <c r="U9" i="37"/>
  <c r="U10" i="37"/>
  <c r="U11" i="37"/>
  <c r="U12" i="37"/>
  <c r="U13" i="37"/>
  <c r="U14" i="37"/>
  <c r="U15" i="37"/>
  <c r="U16" i="37"/>
  <c r="U17" i="37"/>
  <c r="U18" i="37"/>
  <c r="U19" i="37"/>
  <c r="U20" i="37"/>
  <c r="U21" i="37"/>
  <c r="U22" i="37"/>
  <c r="U23" i="37"/>
  <c r="U24" i="37"/>
  <c r="U25" i="37"/>
  <c r="U4" i="37"/>
  <c r="H63" i="26"/>
  <c r="H64" i="26"/>
  <c r="H65" i="26"/>
  <c r="Q5" i="37"/>
  <c r="R5" i="37"/>
  <c r="Q6" i="37"/>
  <c r="R6" i="37"/>
  <c r="Q7" i="37"/>
  <c r="R7" i="37"/>
  <c r="Q8" i="37"/>
  <c r="R8" i="37"/>
  <c r="Q9" i="37"/>
  <c r="R9" i="37"/>
  <c r="Q10" i="37"/>
  <c r="R10" i="37"/>
  <c r="Q11" i="37"/>
  <c r="R11" i="37"/>
  <c r="H40" i="37"/>
  <c r="Q12" i="37"/>
  <c r="R12" i="37"/>
  <c r="Q13" i="37"/>
  <c r="R13" i="37"/>
  <c r="Q14" i="37"/>
  <c r="R14" i="37"/>
  <c r="Q15" i="37"/>
  <c r="R15" i="37"/>
  <c r="Q16" i="37"/>
  <c r="R16" i="37"/>
  <c r="Q17" i="37"/>
  <c r="R17" i="37"/>
  <c r="Q18" i="37"/>
  <c r="R18" i="37"/>
  <c r="Q19" i="37"/>
  <c r="R19" i="37"/>
  <c r="Q21" i="37"/>
  <c r="R21" i="37"/>
  <c r="Q22" i="37"/>
  <c r="R22" i="37"/>
  <c r="Q23" i="37"/>
  <c r="R23" i="37"/>
  <c r="Q24" i="37"/>
  <c r="R24" i="37"/>
  <c r="Q25" i="37"/>
  <c r="R25" i="37"/>
  <c r="Q4" i="37"/>
  <c r="R4" i="37"/>
  <c r="U15" i="29"/>
  <c r="V15" i="29" s="1"/>
  <c r="U14" i="29"/>
  <c r="V14" i="29" s="1"/>
  <c r="U13" i="29"/>
  <c r="V13" i="29" s="1"/>
  <c r="U17" i="29"/>
  <c r="U18" i="29"/>
  <c r="U21" i="29"/>
  <c r="U22" i="29"/>
  <c r="U23" i="29"/>
  <c r="U24" i="29"/>
  <c r="U25" i="29"/>
  <c r="U26" i="29"/>
  <c r="U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I32" i="29"/>
  <c r="I33" i="29"/>
  <c r="I34" i="29"/>
  <c r="I35" i="29"/>
  <c r="I36" i="29"/>
  <c r="I37" i="29"/>
  <c r="I38" i="29"/>
  <c r="I39" i="29"/>
  <c r="G37" i="29"/>
  <c r="G38" i="29"/>
  <c r="G39" i="29"/>
  <c r="P22" i="39"/>
  <c r="R22" i="39"/>
  <c r="K64" i="29"/>
  <c r="K63" i="29"/>
  <c r="K62" i="29"/>
  <c r="K61" i="29"/>
  <c r="K60" i="29"/>
  <c r="K59" i="29"/>
  <c r="K58" i="29"/>
  <c r="K57" i="29"/>
  <c r="K56" i="29"/>
  <c r="K55" i="29"/>
  <c r="K54" i="29"/>
  <c r="K53" i="29"/>
  <c r="U19" i="29"/>
  <c r="K52" i="29"/>
  <c r="K51" i="29"/>
  <c r="K50" i="29"/>
  <c r="M50" i="29"/>
  <c r="K49" i="29"/>
  <c r="M49" i="29"/>
  <c r="K48" i="29"/>
  <c r="K47" i="29"/>
  <c r="M47" i="29"/>
  <c r="K46" i="29"/>
  <c r="K45" i="29"/>
  <c r="M45" i="29"/>
  <c r="K44" i="29"/>
  <c r="U16" i="29"/>
  <c r="D12" i="34"/>
  <c r="D11" i="34"/>
  <c r="D10" i="34"/>
  <c r="D9" i="34"/>
  <c r="D8" i="34"/>
  <c r="D7" i="34"/>
  <c r="D6" i="34"/>
  <c r="D5" i="34"/>
  <c r="D17" i="33"/>
  <c r="D16" i="33"/>
  <c r="D15" i="33"/>
  <c r="D14" i="33"/>
  <c r="D13" i="33"/>
  <c r="D12" i="33"/>
  <c r="D11" i="33"/>
  <c r="D10" i="33"/>
  <c r="D9" i="33"/>
  <c r="D8" i="33"/>
  <c r="D7" i="33"/>
  <c r="D6" i="33"/>
  <c r="D5" i="33"/>
  <c r="D23" i="32"/>
  <c r="D22" i="32"/>
  <c r="D21" i="32"/>
  <c r="D20" i="32"/>
  <c r="D19" i="32"/>
  <c r="D18" i="32"/>
  <c r="D17" i="32"/>
  <c r="D16" i="32"/>
  <c r="D15" i="32"/>
  <c r="D14" i="32"/>
  <c r="D13" i="32"/>
  <c r="D12" i="32"/>
  <c r="D11" i="32"/>
  <c r="D10" i="32"/>
  <c r="D9" i="32"/>
  <c r="D8" i="32"/>
  <c r="D7" i="32"/>
  <c r="D6" i="32"/>
  <c r="G12" i="34"/>
  <c r="G11" i="34"/>
  <c r="G10" i="34"/>
  <c r="G9" i="34"/>
  <c r="G8" i="34"/>
  <c r="G7" i="34"/>
  <c r="G6" i="34"/>
  <c r="G5" i="34"/>
  <c r="C23" i="32"/>
  <c r="C22" i="32"/>
  <c r="C21" i="32"/>
  <c r="C20" i="32"/>
  <c r="C19" i="32"/>
  <c r="C18" i="32"/>
  <c r="C17" i="32"/>
  <c r="C16" i="32"/>
  <c r="C15" i="32"/>
  <c r="C14" i="32"/>
  <c r="C13" i="32"/>
  <c r="C12" i="32"/>
  <c r="C11" i="32"/>
  <c r="C10" i="32"/>
  <c r="C9" i="32"/>
  <c r="C8" i="32"/>
  <c r="C7" i="32"/>
  <c r="C6" i="32"/>
  <c r="S6" i="37"/>
  <c r="S5" i="37"/>
  <c r="S8" i="37"/>
  <c r="S9" i="37"/>
  <c r="S16" i="37"/>
  <c r="G63" i="26"/>
  <c r="G64" i="26"/>
  <c r="G65" i="26"/>
  <c r="I102" i="27"/>
  <c r="I101" i="27"/>
  <c r="I100" i="27"/>
  <c r="I99" i="27"/>
  <c r="I98" i="27"/>
  <c r="I97" i="27"/>
  <c r="I96" i="27"/>
  <c r="I95" i="27"/>
  <c r="I94" i="27"/>
  <c r="I93" i="27"/>
  <c r="I92" i="27"/>
  <c r="I91" i="27"/>
  <c r="I90" i="27"/>
  <c r="I89" i="27"/>
  <c r="I88" i="27"/>
  <c r="I87" i="27"/>
  <c r="I86" i="27"/>
  <c r="I85" i="27"/>
  <c r="I84" i="27"/>
  <c r="I83" i="27"/>
  <c r="I82" i="27"/>
  <c r="I81" i="27"/>
  <c r="I80" i="27"/>
  <c r="I79" i="27"/>
  <c r="I78" i="27"/>
  <c r="I77"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E44" i="10"/>
  <c r="E43" i="10"/>
  <c r="E42" i="10"/>
  <c r="E41" i="10"/>
  <c r="E40" i="10"/>
  <c r="E39" i="10"/>
  <c r="E38" i="10"/>
  <c r="E37" i="10"/>
  <c r="E36" i="10"/>
  <c r="E35" i="10"/>
  <c r="C3" i="28"/>
  <c r="C4" i="28"/>
  <c r="C5" i="28"/>
  <c r="C6" i="28"/>
  <c r="Z2" i="9"/>
  <c r="Z15" i="9"/>
  <c r="I2" i="9"/>
  <c r="J2" i="9"/>
  <c r="K2" i="9"/>
  <c r="K11" i="9"/>
  <c r="L2" i="9"/>
  <c r="L6" i="9"/>
  <c r="M2" i="9"/>
  <c r="M9" i="9"/>
  <c r="N2" i="9"/>
  <c r="N8" i="9"/>
  <c r="O2" i="9"/>
  <c r="O6" i="9"/>
  <c r="P2" i="9"/>
  <c r="P10" i="9"/>
  <c r="Q2" i="9"/>
  <c r="Q10" i="9"/>
  <c r="R2" i="9"/>
  <c r="S2" i="9"/>
  <c r="T2" i="9"/>
  <c r="AW2" i="3"/>
  <c r="U2" i="9"/>
  <c r="U10" i="9"/>
  <c r="V2" i="9"/>
  <c r="BC2" i="3"/>
  <c r="W2" i="9"/>
  <c r="BF2" i="3"/>
  <c r="X2" i="9"/>
  <c r="BI2" i="3"/>
  <c r="A37" i="14"/>
  <c r="Y2" i="9"/>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E26" i="9"/>
  <c r="E27" i="9"/>
  <c r="E28" i="9"/>
  <c r="E29" i="9"/>
  <c r="E30" i="9"/>
  <c r="E31" i="9"/>
  <c r="E32" i="9"/>
  <c r="E33" i="9"/>
  <c r="E34" i="9"/>
  <c r="E35" i="9"/>
  <c r="G2" i="36"/>
  <c r="E25" i="10"/>
  <c r="E26" i="10"/>
  <c r="E27" i="10"/>
  <c r="E28" i="10"/>
  <c r="E29" i="10"/>
  <c r="E30" i="10"/>
  <c r="E31" i="10"/>
  <c r="E32" i="10"/>
  <c r="E33" i="10"/>
  <c r="E34" i="10"/>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F103" i="28"/>
  <c r="D98" i="28"/>
  <c r="F98" i="28"/>
  <c r="D93" i="28"/>
  <c r="E93" i="28"/>
  <c r="D88" i="28"/>
  <c r="F88" i="28"/>
  <c r="D83" i="28"/>
  <c r="F83" i="28"/>
  <c r="D78" i="28"/>
  <c r="F78" i="28"/>
  <c r="D73" i="28"/>
  <c r="F73" i="28"/>
  <c r="D68" i="28"/>
  <c r="F68" i="28"/>
  <c r="D63" i="28"/>
  <c r="E63" i="28"/>
  <c r="D3" i="28"/>
  <c r="E3" i="28"/>
  <c r="G63" i="28"/>
  <c r="H63" i="28"/>
  <c r="J63" i="28"/>
  <c r="F63" i="28"/>
  <c r="D58" i="28"/>
  <c r="F58" i="28"/>
  <c r="J62" i="28"/>
  <c r="I62" i="28"/>
  <c r="D53" i="28"/>
  <c r="F53" i="28"/>
  <c r="D48" i="28"/>
  <c r="F48" i="28"/>
  <c r="D43" i="28"/>
  <c r="F43" i="28"/>
  <c r="D38" i="28"/>
  <c r="F38" i="28"/>
  <c r="D33" i="28"/>
  <c r="E33" i="28"/>
  <c r="G33" i="28"/>
  <c r="H33" i="28"/>
  <c r="J33" i="28"/>
  <c r="D28" i="28"/>
  <c r="D23" i="28"/>
  <c r="E23" i="28"/>
  <c r="D18" i="28"/>
  <c r="F18" i="28"/>
  <c r="D13" i="28"/>
  <c r="F13" i="28"/>
  <c r="J17" i="28"/>
  <c r="I17" i="28"/>
  <c r="D8" i="28"/>
  <c r="F8" i="28"/>
  <c r="F3" i="28"/>
  <c r="J7" i="28"/>
  <c r="H107" i="28"/>
  <c r="H106" i="28"/>
  <c r="J106" i="28"/>
  <c r="H105" i="28"/>
  <c r="J105" i="28"/>
  <c r="H104" i="28"/>
  <c r="J104" i="28"/>
  <c r="H102" i="28"/>
  <c r="H101" i="28"/>
  <c r="J101" i="28"/>
  <c r="H100" i="28"/>
  <c r="J100" i="28"/>
  <c r="H99" i="28"/>
  <c r="J99" i="28"/>
  <c r="H97" i="28"/>
  <c r="H96" i="28"/>
  <c r="J96" i="28"/>
  <c r="H95" i="28"/>
  <c r="J95" i="28"/>
  <c r="H94" i="28"/>
  <c r="J94" i="28"/>
  <c r="H92" i="28"/>
  <c r="H91" i="28"/>
  <c r="J91" i="28"/>
  <c r="H90" i="28"/>
  <c r="J90" i="28"/>
  <c r="H89" i="28"/>
  <c r="J89" i="28"/>
  <c r="H87" i="28"/>
  <c r="H86" i="28"/>
  <c r="J86" i="28"/>
  <c r="H85" i="28"/>
  <c r="J85" i="28"/>
  <c r="H84" i="28"/>
  <c r="J84" i="28"/>
  <c r="H82" i="28"/>
  <c r="H81" i="28"/>
  <c r="J81" i="28"/>
  <c r="H80" i="28"/>
  <c r="J80" i="28"/>
  <c r="H79" i="28"/>
  <c r="J79" i="28"/>
  <c r="H77" i="28"/>
  <c r="H76" i="28"/>
  <c r="J76" i="28"/>
  <c r="H75" i="28"/>
  <c r="J75" i="28"/>
  <c r="H74" i="28"/>
  <c r="J74" i="28"/>
  <c r="H72" i="28"/>
  <c r="H71" i="28"/>
  <c r="J71" i="28"/>
  <c r="H70" i="28"/>
  <c r="J70" i="28"/>
  <c r="H69" i="28"/>
  <c r="J69" i="28"/>
  <c r="H67" i="28"/>
  <c r="H66" i="28"/>
  <c r="J66" i="28"/>
  <c r="H65" i="28"/>
  <c r="J65" i="28"/>
  <c r="H64" i="28"/>
  <c r="J64" i="28"/>
  <c r="H62" i="28"/>
  <c r="H61" i="28"/>
  <c r="J61" i="28"/>
  <c r="H60" i="28"/>
  <c r="J60" i="28"/>
  <c r="H59" i="28"/>
  <c r="J59" i="28"/>
  <c r="H57" i="28"/>
  <c r="H56" i="28"/>
  <c r="J56" i="28"/>
  <c r="H55" i="28"/>
  <c r="J55" i="28"/>
  <c r="H54" i="28"/>
  <c r="J54" i="28"/>
  <c r="H52" i="28"/>
  <c r="H51" i="28"/>
  <c r="J51" i="28"/>
  <c r="H50" i="28"/>
  <c r="J50" i="28"/>
  <c r="H49" i="28"/>
  <c r="J49" i="28"/>
  <c r="H47" i="28"/>
  <c r="H46" i="28"/>
  <c r="J46" i="28"/>
  <c r="H45" i="28"/>
  <c r="J45" i="28"/>
  <c r="H44" i="28"/>
  <c r="J44" i="28"/>
  <c r="H42" i="28"/>
  <c r="H41" i="28"/>
  <c r="J41" i="28"/>
  <c r="H40" i="28"/>
  <c r="J40" i="28"/>
  <c r="H39" i="28"/>
  <c r="J39" i="28"/>
  <c r="H37" i="28"/>
  <c r="H36" i="28"/>
  <c r="J36" i="28"/>
  <c r="H35" i="28"/>
  <c r="J35" i="28"/>
  <c r="H34" i="28"/>
  <c r="J34" i="28"/>
  <c r="H32" i="28"/>
  <c r="H31" i="28"/>
  <c r="J31" i="28"/>
  <c r="H30" i="28"/>
  <c r="J30" i="28"/>
  <c r="H29" i="28"/>
  <c r="J29" i="28"/>
  <c r="H6" i="28"/>
  <c r="J6" i="28"/>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74" i="9"/>
  <c r="E175" i="9"/>
  <c r="E176" i="9"/>
  <c r="H11" i="11"/>
  <c r="E177" i="9"/>
  <c r="I11" i="11"/>
  <c r="E178" i="9"/>
  <c r="E179" i="9"/>
  <c r="E180" i="9"/>
  <c r="L11" i="11"/>
  <c r="E181" i="9"/>
  <c r="E182" i="9"/>
  <c r="E183" i="9"/>
  <c r="E184" i="9"/>
  <c r="F11" i="11"/>
  <c r="E185" i="9"/>
  <c r="E186" i="9"/>
  <c r="E187" i="9"/>
  <c r="E188" i="9"/>
  <c r="E189" i="9"/>
  <c r="E190" i="9"/>
  <c r="E191" i="9"/>
  <c r="G3" i="36"/>
  <c r="G4" i="36"/>
  <c r="H5" i="39"/>
  <c r="E77" i="10"/>
  <c r="I2" i="10"/>
  <c r="J2" i="10"/>
  <c r="K2" i="10"/>
  <c r="L2" i="10"/>
  <c r="M2" i="10"/>
  <c r="M6" i="10"/>
  <c r="N2" i="10"/>
  <c r="O2" i="10"/>
  <c r="O8" i="10"/>
  <c r="P2" i="10"/>
  <c r="Q2" i="10"/>
  <c r="Q8" i="10"/>
  <c r="R2" i="10"/>
  <c r="S2" i="10"/>
  <c r="S9" i="10"/>
  <c r="T2" i="10"/>
  <c r="U2" i="10"/>
  <c r="U10" i="10"/>
  <c r="V2" i="10"/>
  <c r="V9" i="10"/>
  <c r="W2" i="10"/>
  <c r="W5" i="10"/>
  <c r="X2" i="10"/>
  <c r="X7" i="10"/>
  <c r="Y2" i="10"/>
  <c r="Z2" i="10"/>
  <c r="Z7" i="10"/>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I7" i="32"/>
  <c r="I9" i="27"/>
  <c r="I8" i="27"/>
  <c r="I7" i="27"/>
  <c r="I10" i="27"/>
  <c r="I11" i="27"/>
  <c r="E2" i="36"/>
  <c r="I6" i="32"/>
  <c r="I8" i="32"/>
  <c r="I9" i="32"/>
  <c r="I10" i="32"/>
  <c r="I11" i="32"/>
  <c r="I12" i="32"/>
  <c r="I13" i="32"/>
  <c r="I14" i="32"/>
  <c r="I15" i="32"/>
  <c r="I16" i="32"/>
  <c r="I17" i="32"/>
  <c r="I18" i="32"/>
  <c r="I19" i="32"/>
  <c r="I20" i="32"/>
  <c r="I21" i="32"/>
  <c r="I22" i="32"/>
  <c r="I23" i="32"/>
  <c r="A20" i="35"/>
  <c r="A21" i="35"/>
  <c r="A22" i="35"/>
  <c r="A23" i="35"/>
  <c r="A24" i="35"/>
  <c r="A25" i="35"/>
  <c r="A26" i="35"/>
  <c r="F21" i="36"/>
  <c r="F20" i="36"/>
  <c r="F19" i="36"/>
  <c r="F18" i="36"/>
  <c r="F17" i="36"/>
  <c r="F16" i="36"/>
  <c r="F15" i="36"/>
  <c r="F14" i="36"/>
  <c r="F13" i="36"/>
  <c r="F12" i="36"/>
  <c r="F11" i="36"/>
  <c r="F10" i="36"/>
  <c r="F9" i="36"/>
  <c r="F8" i="36"/>
  <c r="F7" i="36"/>
  <c r="F6" i="36"/>
  <c r="F5" i="36"/>
  <c r="F4" i="36"/>
  <c r="F3" i="36"/>
  <c r="I4" i="32"/>
  <c r="F2" i="36"/>
  <c r="I3" i="32"/>
  <c r="J3" i="30"/>
  <c r="J4" i="30"/>
  <c r="Q4" i="30"/>
  <c r="Q3" i="30"/>
  <c r="D8" i="1"/>
  <c r="AB79" i="3"/>
  <c r="AB82" i="3"/>
  <c r="AB84" i="3"/>
  <c r="AB126" i="3"/>
  <c r="AB127" i="3"/>
  <c r="AB128" i="3"/>
  <c r="AB129" i="3"/>
  <c r="AB130" i="3"/>
  <c r="AB131" i="3"/>
  <c r="AB132" i="3"/>
  <c r="AB133" i="3"/>
  <c r="AB134" i="3"/>
  <c r="AB135" i="3"/>
  <c r="Y79" i="3"/>
  <c r="Y84" i="3"/>
  <c r="Y85" i="3"/>
  <c r="Y126" i="3"/>
  <c r="Y127" i="3"/>
  <c r="Y128" i="3"/>
  <c r="Y129" i="3"/>
  <c r="Y130" i="3"/>
  <c r="Y131" i="3"/>
  <c r="Y132" i="3"/>
  <c r="Y133" i="3"/>
  <c r="Y134" i="3"/>
  <c r="Y135" i="3"/>
  <c r="V77" i="3"/>
  <c r="V81" i="3"/>
  <c r="V83" i="3"/>
  <c r="V126" i="3"/>
  <c r="V127" i="3"/>
  <c r="V128" i="3"/>
  <c r="V129" i="3"/>
  <c r="V130" i="3"/>
  <c r="V131" i="3"/>
  <c r="V132" i="3"/>
  <c r="V133" i="3"/>
  <c r="V134" i="3"/>
  <c r="V135" i="3"/>
  <c r="S76" i="3"/>
  <c r="S78" i="3"/>
  <c r="S85" i="3"/>
  <c r="S126" i="3"/>
  <c r="S127" i="3"/>
  <c r="S128" i="3"/>
  <c r="S129" i="3"/>
  <c r="S130" i="3"/>
  <c r="S131" i="3"/>
  <c r="S132" i="3"/>
  <c r="S133" i="3"/>
  <c r="S134" i="3"/>
  <c r="S135" i="3"/>
  <c r="P82" i="3"/>
  <c r="P83" i="3"/>
  <c r="P85" i="3"/>
  <c r="P126" i="3"/>
  <c r="P127" i="3"/>
  <c r="P128" i="3"/>
  <c r="P129" i="3"/>
  <c r="P130" i="3"/>
  <c r="P131" i="3"/>
  <c r="P132" i="3"/>
  <c r="P133" i="3"/>
  <c r="P134" i="3"/>
  <c r="P135" i="3"/>
  <c r="M77" i="3"/>
  <c r="M81" i="3"/>
  <c r="M126" i="3"/>
  <c r="M127" i="3"/>
  <c r="M128" i="3"/>
  <c r="M129" i="3"/>
  <c r="M130" i="3"/>
  <c r="M131" i="3"/>
  <c r="M132" i="3"/>
  <c r="M133" i="3"/>
  <c r="M134" i="3"/>
  <c r="M135" i="3"/>
  <c r="J78" i="3"/>
  <c r="J126" i="3"/>
  <c r="J127" i="3"/>
  <c r="J128" i="3"/>
  <c r="J129" i="3"/>
  <c r="J130" i="3"/>
  <c r="J131" i="3"/>
  <c r="J132" i="3"/>
  <c r="J133" i="3"/>
  <c r="J134" i="3"/>
  <c r="J135" i="3"/>
  <c r="AC116" i="3"/>
  <c r="AC117" i="3"/>
  <c r="AC118" i="3"/>
  <c r="AC119" i="3"/>
  <c r="AC120" i="3"/>
  <c r="AC121" i="3"/>
  <c r="AC122" i="3"/>
  <c r="AC123" i="3"/>
  <c r="AC124" i="3"/>
  <c r="AC125" i="3"/>
  <c r="AB116" i="3"/>
  <c r="AB117" i="3"/>
  <c r="AB118" i="3"/>
  <c r="AB119" i="3"/>
  <c r="AB120" i="3"/>
  <c r="AB121" i="3"/>
  <c r="AB122" i="3"/>
  <c r="AB123" i="3"/>
  <c r="AB124" i="3"/>
  <c r="AB125" i="3"/>
  <c r="Z116" i="3"/>
  <c r="Y116" i="3"/>
  <c r="Z117" i="3"/>
  <c r="Y117" i="3"/>
  <c r="AA117" i="3"/>
  <c r="Z118" i="3"/>
  <c r="Y118" i="3"/>
  <c r="Z119" i="3"/>
  <c r="Y119" i="3"/>
  <c r="Z120" i="3"/>
  <c r="Y120" i="3"/>
  <c r="Z121" i="3"/>
  <c r="Y121" i="3"/>
  <c r="Z122" i="3"/>
  <c r="Y122" i="3"/>
  <c r="AA122" i="3"/>
  <c r="Z123" i="3"/>
  <c r="Y123" i="3"/>
  <c r="Z124" i="3"/>
  <c r="Y124" i="3"/>
  <c r="Z125" i="3"/>
  <c r="Y125" i="3"/>
  <c r="W116" i="3"/>
  <c r="V116" i="3"/>
  <c r="X116" i="3" s="1"/>
  <c r="W117" i="3"/>
  <c r="V117" i="3"/>
  <c r="W118" i="3"/>
  <c r="V118" i="3"/>
  <c r="W119" i="3"/>
  <c r="V119" i="3"/>
  <c r="X119" i="3"/>
  <c r="W120" i="3"/>
  <c r="V120" i="3"/>
  <c r="W121" i="3"/>
  <c r="X121" i="3" s="1"/>
  <c r="V121" i="3"/>
  <c r="W122" i="3"/>
  <c r="V122" i="3"/>
  <c r="X122" i="3"/>
  <c r="W123" i="3"/>
  <c r="V123" i="3"/>
  <c r="W124" i="3"/>
  <c r="V124" i="3"/>
  <c r="W125" i="3"/>
  <c r="X125" i="3" s="1"/>
  <c r="V125" i="3"/>
  <c r="T116" i="3"/>
  <c r="S116" i="3"/>
  <c r="U116" i="3"/>
  <c r="T117" i="3"/>
  <c r="U117" i="3" s="1"/>
  <c r="S117" i="3"/>
  <c r="T118" i="3"/>
  <c r="S118" i="3"/>
  <c r="U118" i="3"/>
  <c r="T119" i="3"/>
  <c r="S119" i="3"/>
  <c r="T120" i="3"/>
  <c r="S120" i="3"/>
  <c r="T121" i="3"/>
  <c r="S121" i="3"/>
  <c r="U121" i="3" s="1"/>
  <c r="T122" i="3"/>
  <c r="S122" i="3"/>
  <c r="T123" i="3"/>
  <c r="S123" i="3"/>
  <c r="U123" i="3"/>
  <c r="T124" i="3"/>
  <c r="S124" i="3"/>
  <c r="U124" i="3"/>
  <c r="T125" i="3"/>
  <c r="S125" i="3"/>
  <c r="Q116" i="3"/>
  <c r="P116" i="3"/>
  <c r="Q117" i="3"/>
  <c r="P117" i="3"/>
  <c r="R117" i="3"/>
  <c r="Q118" i="3"/>
  <c r="P118" i="3"/>
  <c r="R118" i="3"/>
  <c r="Q119" i="3"/>
  <c r="P119" i="3"/>
  <c r="Q120" i="3"/>
  <c r="P120" i="3"/>
  <c r="R120" i="3"/>
  <c r="Q121" i="3"/>
  <c r="P121" i="3"/>
  <c r="Q122" i="3"/>
  <c r="P122" i="3"/>
  <c r="R122" i="3"/>
  <c r="Q123" i="3"/>
  <c r="P123" i="3"/>
  <c r="Q124" i="3"/>
  <c r="P124" i="3"/>
  <c r="R124" i="3"/>
  <c r="Q125" i="3"/>
  <c r="P125" i="3"/>
  <c r="N116" i="3"/>
  <c r="M116" i="3"/>
  <c r="N117" i="3"/>
  <c r="M117" i="3"/>
  <c r="N118" i="3"/>
  <c r="M118" i="3"/>
  <c r="O118" i="3"/>
  <c r="N119" i="3"/>
  <c r="M119" i="3"/>
  <c r="N120" i="3"/>
  <c r="M120" i="3"/>
  <c r="O120" i="3"/>
  <c r="N121" i="3"/>
  <c r="M121" i="3"/>
  <c r="N122" i="3"/>
  <c r="M122" i="3"/>
  <c r="N123" i="3"/>
  <c r="M123" i="3"/>
  <c r="N124" i="3"/>
  <c r="M124" i="3"/>
  <c r="O124" i="3"/>
  <c r="N125" i="3"/>
  <c r="M125" i="3"/>
  <c r="O125" i="3"/>
  <c r="K116" i="3"/>
  <c r="J116" i="3"/>
  <c r="K117" i="3"/>
  <c r="J117" i="3"/>
  <c r="K118" i="3"/>
  <c r="J118" i="3"/>
  <c r="K119" i="3"/>
  <c r="J119" i="3"/>
  <c r="K120" i="3"/>
  <c r="J120" i="3"/>
  <c r="L120" i="3"/>
  <c r="K121" i="3"/>
  <c r="J121" i="3"/>
  <c r="L121" i="3" s="1"/>
  <c r="K122" i="3"/>
  <c r="J122" i="3"/>
  <c r="L122" i="3"/>
  <c r="K123" i="3"/>
  <c r="L123" i="3" s="1"/>
  <c r="J123" i="3"/>
  <c r="K124" i="3"/>
  <c r="J124" i="3"/>
  <c r="K125" i="3"/>
  <c r="J125" i="3"/>
  <c r="H116" i="3"/>
  <c r="G116" i="3"/>
  <c r="H117" i="3"/>
  <c r="G117" i="3"/>
  <c r="H118" i="3"/>
  <c r="G118" i="3"/>
  <c r="H119" i="3"/>
  <c r="G119" i="3"/>
  <c r="H120" i="3"/>
  <c r="G120" i="3"/>
  <c r="H121" i="3"/>
  <c r="G121" i="3"/>
  <c r="H122" i="3"/>
  <c r="G122" i="3"/>
  <c r="H123" i="3"/>
  <c r="G123" i="3"/>
  <c r="H124" i="3"/>
  <c r="G124" i="3"/>
  <c r="H125" i="3"/>
  <c r="G125" i="3"/>
  <c r="Z171" i="9"/>
  <c r="Y14" i="20"/>
  <c r="Y171" i="9"/>
  <c r="X14" i="20"/>
  <c r="X171" i="9"/>
  <c r="W14" i="20"/>
  <c r="W171" i="9"/>
  <c r="V14" i="20"/>
  <c r="V171" i="9"/>
  <c r="U14" i="20"/>
  <c r="U171" i="9"/>
  <c r="T14" i="20"/>
  <c r="T171" i="9"/>
  <c r="S14" i="20"/>
  <c r="S171" i="9"/>
  <c r="R14" i="20"/>
  <c r="R171" i="9"/>
  <c r="Q14" i="20"/>
  <c r="Q171" i="9"/>
  <c r="P14" i="20"/>
  <c r="P171" i="9"/>
  <c r="O14" i="20"/>
  <c r="O171" i="9"/>
  <c r="N14" i="20"/>
  <c r="N171" i="9"/>
  <c r="M14" i="20"/>
  <c r="M171" i="9"/>
  <c r="L14" i="20"/>
  <c r="L171" i="9"/>
  <c r="K14" i="20"/>
  <c r="K171" i="9"/>
  <c r="J14" i="20"/>
  <c r="J171" i="9"/>
  <c r="I14" i="20"/>
  <c r="I171" i="9"/>
  <c r="H14" i="20"/>
  <c r="H171" i="9"/>
  <c r="G14" i="20"/>
  <c r="G171" i="9"/>
  <c r="F14" i="20"/>
  <c r="F171" i="9"/>
  <c r="E14" i="20"/>
  <c r="AC106" i="3"/>
  <c r="AC107" i="3"/>
  <c r="AC108" i="3"/>
  <c r="AC109" i="3"/>
  <c r="AB109" i="3"/>
  <c r="AD109" i="3"/>
  <c r="AC110" i="3"/>
  <c r="AC111" i="3"/>
  <c r="AC112" i="3"/>
  <c r="AC113" i="3"/>
  <c r="AC114" i="3"/>
  <c r="AC115" i="3"/>
  <c r="AB106" i="3"/>
  <c r="AB107" i="3"/>
  <c r="AD107" i="3"/>
  <c r="AB108" i="3"/>
  <c r="AB110" i="3"/>
  <c r="AB111" i="3"/>
  <c r="AD111" i="3"/>
  <c r="AB112" i="3"/>
  <c r="AB113" i="3"/>
  <c r="AB114" i="3"/>
  <c r="AB115" i="3"/>
  <c r="Z106" i="3"/>
  <c r="Y106" i="3"/>
  <c r="Z107" i="3"/>
  <c r="Y107" i="3"/>
  <c r="Z108" i="3"/>
  <c r="Y108" i="3"/>
  <c r="Z109" i="3"/>
  <c r="Y109" i="3"/>
  <c r="AA109" i="3"/>
  <c r="Z110" i="3"/>
  <c r="Y110" i="3"/>
  <c r="AA110" i="3"/>
  <c r="Z111" i="3"/>
  <c r="Y111" i="3"/>
  <c r="Z112" i="3"/>
  <c r="Y112" i="3"/>
  <c r="Z113" i="3"/>
  <c r="Y113" i="3"/>
  <c r="AA113" i="3"/>
  <c r="Z114" i="3"/>
  <c r="Y114" i="3"/>
  <c r="Z115" i="3"/>
  <c r="Y115" i="3"/>
  <c r="AA115" i="3"/>
  <c r="W106" i="3"/>
  <c r="V106" i="3"/>
  <c r="X106" i="3" s="1"/>
  <c r="W107" i="3"/>
  <c r="V107" i="3"/>
  <c r="W108" i="3"/>
  <c r="V108" i="3"/>
  <c r="W109" i="3"/>
  <c r="V109" i="3"/>
  <c r="W110" i="3"/>
  <c r="V110" i="3"/>
  <c r="W111" i="3"/>
  <c r="V111" i="3"/>
  <c r="W112" i="3"/>
  <c r="V112" i="3"/>
  <c r="W113" i="3"/>
  <c r="V113" i="3"/>
  <c r="W114" i="3"/>
  <c r="V114" i="3"/>
  <c r="W115" i="3"/>
  <c r="V115" i="3"/>
  <c r="X115" i="3"/>
  <c r="T106" i="3"/>
  <c r="S106" i="3"/>
  <c r="T107" i="3"/>
  <c r="S107" i="3"/>
  <c r="T108" i="3"/>
  <c r="S108" i="3"/>
  <c r="T109" i="3"/>
  <c r="S109" i="3"/>
  <c r="T110" i="3"/>
  <c r="S110" i="3"/>
  <c r="T111" i="3"/>
  <c r="S111" i="3"/>
  <c r="T112" i="3"/>
  <c r="S112" i="3"/>
  <c r="U112" i="3"/>
  <c r="T113" i="3"/>
  <c r="S113" i="3"/>
  <c r="T114" i="3"/>
  <c r="S114" i="3"/>
  <c r="T115" i="3"/>
  <c r="S115" i="3"/>
  <c r="Q106" i="3"/>
  <c r="P106" i="3"/>
  <c r="Q107" i="3"/>
  <c r="P107" i="3"/>
  <c r="Q108" i="3"/>
  <c r="P108" i="3"/>
  <c r="R108" i="3"/>
  <c r="Q109" i="3"/>
  <c r="P109" i="3"/>
  <c r="Q110" i="3"/>
  <c r="P110" i="3"/>
  <c r="P111" i="3"/>
  <c r="P112" i="3"/>
  <c r="P113" i="3"/>
  <c r="P114" i="3"/>
  <c r="P115" i="3"/>
  <c r="L4" i="20"/>
  <c r="Q111" i="3"/>
  <c r="Q112" i="3"/>
  <c r="R112" i="3"/>
  <c r="Q113" i="3"/>
  <c r="Q114" i="3"/>
  <c r="Q115" i="3"/>
  <c r="N106" i="3"/>
  <c r="M106" i="3"/>
  <c r="N107" i="3"/>
  <c r="M107" i="3"/>
  <c r="N108" i="3"/>
  <c r="M108" i="3"/>
  <c r="O108" i="3"/>
  <c r="N109" i="3"/>
  <c r="M109" i="3"/>
  <c r="N110" i="3"/>
  <c r="M110" i="3"/>
  <c r="N111" i="3"/>
  <c r="M111" i="3"/>
  <c r="N112" i="3"/>
  <c r="M112" i="3"/>
  <c r="N113" i="3"/>
  <c r="M113" i="3"/>
  <c r="N114" i="3"/>
  <c r="M114" i="3"/>
  <c r="O114" i="3"/>
  <c r="N115" i="3"/>
  <c r="M115" i="3"/>
  <c r="O115" i="3"/>
  <c r="K106" i="3"/>
  <c r="K107" i="3"/>
  <c r="K108" i="3"/>
  <c r="K109" i="3"/>
  <c r="K110" i="3"/>
  <c r="K111" i="3"/>
  <c r="K114" i="3"/>
  <c r="K113" i="3"/>
  <c r="K112" i="3"/>
  <c r="K115" i="3"/>
  <c r="AI4" i="20"/>
  <c r="J106" i="3"/>
  <c r="J107" i="3"/>
  <c r="J108" i="3"/>
  <c r="J109" i="3"/>
  <c r="J110" i="3"/>
  <c r="J111" i="3"/>
  <c r="J112" i="3"/>
  <c r="J113" i="3"/>
  <c r="J114" i="3"/>
  <c r="L114" i="3"/>
  <c r="J115" i="3"/>
  <c r="H106" i="3"/>
  <c r="G106" i="3"/>
  <c r="H107" i="3"/>
  <c r="G107" i="3"/>
  <c r="H108" i="3"/>
  <c r="G108" i="3"/>
  <c r="H109" i="3"/>
  <c r="G109" i="3"/>
  <c r="H110" i="3"/>
  <c r="G110" i="3"/>
  <c r="H111" i="3"/>
  <c r="G111" i="3"/>
  <c r="I111" i="3"/>
  <c r="H112" i="3"/>
  <c r="G112" i="3"/>
  <c r="H113" i="3"/>
  <c r="G113" i="3"/>
  <c r="I113" i="3"/>
  <c r="H114" i="3"/>
  <c r="G114" i="3"/>
  <c r="H115" i="3"/>
  <c r="G115" i="3"/>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D125" i="3"/>
  <c r="AF125" i="3"/>
  <c r="AE125" i="3"/>
  <c r="AI125" i="3"/>
  <c r="AH125" i="3"/>
  <c r="AL125" i="3"/>
  <c r="AK125" i="3"/>
  <c r="AM125" i="3"/>
  <c r="AO125" i="3"/>
  <c r="AN125" i="3"/>
  <c r="AR125" i="3"/>
  <c r="AQ125" i="3"/>
  <c r="AU125" i="3"/>
  <c r="AT125" i="3"/>
  <c r="AV125" i="3"/>
  <c r="AX125" i="3"/>
  <c r="AW125" i="3"/>
  <c r="AY125" i="3"/>
  <c r="BA125" i="3"/>
  <c r="AZ125" i="3"/>
  <c r="BB125" i="3"/>
  <c r="BD125" i="3"/>
  <c r="BC125" i="3"/>
  <c r="BG125" i="3"/>
  <c r="BF125" i="3"/>
  <c r="BH125" i="3"/>
  <c r="BJ125" i="3"/>
  <c r="BI125" i="3"/>
  <c r="BM125" i="3"/>
  <c r="BL125" i="3"/>
  <c r="BN125" i="3"/>
  <c r="BP125" i="3"/>
  <c r="BO125" i="3"/>
  <c r="AF124" i="3"/>
  <c r="AE124" i="3"/>
  <c r="AG124" i="3"/>
  <c r="AI124" i="3"/>
  <c r="AH124" i="3"/>
  <c r="AL124" i="3"/>
  <c r="AK124" i="3"/>
  <c r="AO124" i="3"/>
  <c r="AN124" i="3"/>
  <c r="AR124" i="3"/>
  <c r="AQ124" i="3"/>
  <c r="AU124" i="3"/>
  <c r="AT124" i="3"/>
  <c r="AX124" i="3"/>
  <c r="AW124" i="3"/>
  <c r="AY124" i="3"/>
  <c r="BA124" i="3"/>
  <c r="AZ124" i="3"/>
  <c r="BD124" i="3"/>
  <c r="BE124" i="3" s="1"/>
  <c r="BC124" i="3"/>
  <c r="BG124" i="3"/>
  <c r="BH124" i="3" s="1"/>
  <c r="BF124" i="3"/>
  <c r="BJ124" i="3"/>
  <c r="BI124" i="3"/>
  <c r="BM124" i="3"/>
  <c r="BL124" i="3"/>
  <c r="BN124" i="3"/>
  <c r="BP124" i="3"/>
  <c r="BQ124" i="3"/>
  <c r="BO124" i="3"/>
  <c r="AF123" i="3"/>
  <c r="AE123" i="3"/>
  <c r="AI123" i="3"/>
  <c r="AH123" i="3"/>
  <c r="AJ123" i="3"/>
  <c r="AL123" i="3"/>
  <c r="AK123" i="3"/>
  <c r="AO123" i="3"/>
  <c r="AN123" i="3"/>
  <c r="AR123" i="3"/>
  <c r="AQ123" i="3"/>
  <c r="AU123" i="3"/>
  <c r="AT123" i="3"/>
  <c r="AX123" i="3"/>
  <c r="AW123" i="3"/>
  <c r="BA123" i="3"/>
  <c r="AZ123" i="3"/>
  <c r="BD123" i="3"/>
  <c r="BC123" i="3"/>
  <c r="BG123" i="3"/>
  <c r="BF123" i="3"/>
  <c r="BJ123" i="3"/>
  <c r="BI123" i="3"/>
  <c r="BM123" i="3"/>
  <c r="BL123" i="3"/>
  <c r="BP123" i="3"/>
  <c r="BQ123" i="3"/>
  <c r="BO123" i="3"/>
  <c r="AF122" i="3"/>
  <c r="AE122" i="3"/>
  <c r="AI122" i="3"/>
  <c r="AH122" i="3"/>
  <c r="AL122" i="3"/>
  <c r="AK122" i="3"/>
  <c r="AO122" i="3"/>
  <c r="AN122" i="3"/>
  <c r="AR122" i="3"/>
  <c r="AQ122" i="3"/>
  <c r="AS122" i="3"/>
  <c r="AU122" i="3"/>
  <c r="AT122" i="3"/>
  <c r="AV122" i="3"/>
  <c r="AX122" i="3"/>
  <c r="AW122" i="3"/>
  <c r="BA122" i="3"/>
  <c r="AZ122" i="3"/>
  <c r="BD122" i="3"/>
  <c r="BC122" i="3"/>
  <c r="BG122" i="3"/>
  <c r="BF122" i="3"/>
  <c r="BJ122" i="3"/>
  <c r="BI122" i="3"/>
  <c r="BM122" i="3"/>
  <c r="BL122" i="3"/>
  <c r="BN122" i="3"/>
  <c r="BP122" i="3"/>
  <c r="BO122" i="3"/>
  <c r="AF121" i="3"/>
  <c r="AE121" i="3"/>
  <c r="AI121" i="3"/>
  <c r="AH121" i="3"/>
  <c r="AL121" i="3"/>
  <c r="AK121" i="3"/>
  <c r="AM121" i="3"/>
  <c r="AO121" i="3"/>
  <c r="AN121" i="3"/>
  <c r="AP121" i="3"/>
  <c r="AR121" i="3"/>
  <c r="AQ121" i="3"/>
  <c r="AU121" i="3"/>
  <c r="AT121" i="3"/>
  <c r="AV121" i="3"/>
  <c r="AX121" i="3"/>
  <c r="AW121" i="3"/>
  <c r="BA121" i="3"/>
  <c r="AZ121" i="3"/>
  <c r="BB121" i="3"/>
  <c r="BD121" i="3"/>
  <c r="BC121" i="3"/>
  <c r="BG121" i="3"/>
  <c r="BF121" i="3"/>
  <c r="BJ121" i="3"/>
  <c r="BI121" i="3"/>
  <c r="BM121" i="3"/>
  <c r="BL121" i="3"/>
  <c r="BP121" i="3"/>
  <c r="BQ121" i="3"/>
  <c r="BO121" i="3"/>
  <c r="AF120" i="3"/>
  <c r="AE120" i="3"/>
  <c r="AG120" i="3"/>
  <c r="AI120" i="3"/>
  <c r="AH120" i="3"/>
  <c r="AL120" i="3"/>
  <c r="AK120" i="3"/>
  <c r="AO120" i="3"/>
  <c r="AN120" i="3"/>
  <c r="AP120" i="3"/>
  <c r="AR120" i="3"/>
  <c r="AQ120" i="3"/>
  <c r="AS120" i="3"/>
  <c r="AU120" i="3"/>
  <c r="AT120" i="3"/>
  <c r="AV120" i="3"/>
  <c r="AX120" i="3"/>
  <c r="AW120" i="3"/>
  <c r="BA120" i="3"/>
  <c r="AZ120" i="3"/>
  <c r="BB120" i="3"/>
  <c r="BD120" i="3"/>
  <c r="BC120" i="3"/>
  <c r="BE120" i="3"/>
  <c r="BG120" i="3"/>
  <c r="BF120" i="3"/>
  <c r="BH120" i="3"/>
  <c r="BJ120" i="3"/>
  <c r="BI120" i="3"/>
  <c r="BM120" i="3"/>
  <c r="BL120" i="3"/>
  <c r="BP120" i="3"/>
  <c r="BO120" i="3"/>
  <c r="AF119" i="3"/>
  <c r="AE119" i="3"/>
  <c r="AG119" i="3"/>
  <c r="AI119" i="3"/>
  <c r="AH119" i="3"/>
  <c r="AL119" i="3"/>
  <c r="AK119" i="3"/>
  <c r="AM119" i="3"/>
  <c r="AO119" i="3"/>
  <c r="AN119" i="3"/>
  <c r="AR119" i="3"/>
  <c r="AQ119" i="3"/>
  <c r="AS119" i="3"/>
  <c r="AU119" i="3"/>
  <c r="AT119" i="3"/>
  <c r="AX119" i="3"/>
  <c r="AW119" i="3"/>
  <c r="BA119" i="3"/>
  <c r="AZ119" i="3"/>
  <c r="BD119" i="3"/>
  <c r="BC119" i="3"/>
  <c r="BG119" i="3"/>
  <c r="BF119" i="3"/>
  <c r="BJ119" i="3"/>
  <c r="BI119" i="3"/>
  <c r="BM119" i="3"/>
  <c r="BL119" i="3"/>
  <c r="BN119" i="3"/>
  <c r="BP119" i="3"/>
  <c r="BO119" i="3"/>
  <c r="AF118" i="3"/>
  <c r="AE118" i="3"/>
  <c r="AG118" i="3"/>
  <c r="AI118" i="3"/>
  <c r="AH118" i="3"/>
  <c r="AL118" i="3"/>
  <c r="AK118" i="3"/>
  <c r="AM118" i="3"/>
  <c r="AO118" i="3"/>
  <c r="AN118" i="3"/>
  <c r="AR118" i="3"/>
  <c r="AQ118" i="3"/>
  <c r="AU118" i="3"/>
  <c r="AT118" i="3"/>
  <c r="AX118" i="3"/>
  <c r="AW118" i="3"/>
  <c r="AY118" i="3"/>
  <c r="BA118" i="3"/>
  <c r="AZ118" i="3"/>
  <c r="BD118" i="3"/>
  <c r="BC118" i="3"/>
  <c r="BG118" i="3"/>
  <c r="BF118" i="3"/>
  <c r="BJ118" i="3"/>
  <c r="BI118" i="3"/>
  <c r="BM118" i="3"/>
  <c r="BL118" i="3"/>
  <c r="BP118" i="3"/>
  <c r="BO118" i="3"/>
  <c r="BQ118" i="3"/>
  <c r="AD117" i="3"/>
  <c r="AF117" i="3"/>
  <c r="AE117" i="3"/>
  <c r="AG117" i="3"/>
  <c r="AI117" i="3"/>
  <c r="AH117" i="3"/>
  <c r="AL117" i="3"/>
  <c r="AM117" i="3" s="1"/>
  <c r="AK117" i="3"/>
  <c r="AO117" i="3"/>
  <c r="AN117" i="3"/>
  <c r="AR117" i="3"/>
  <c r="AQ117" i="3"/>
  <c r="AS117" i="3"/>
  <c r="AU117" i="3"/>
  <c r="AT117" i="3"/>
  <c r="AX117" i="3"/>
  <c r="AW117" i="3"/>
  <c r="BA117" i="3"/>
  <c r="AZ117" i="3"/>
  <c r="BB117" i="3"/>
  <c r="BD117" i="3"/>
  <c r="BC117" i="3"/>
  <c r="BE117" i="3"/>
  <c r="BG117" i="3"/>
  <c r="BF117" i="3"/>
  <c r="BH117" i="3"/>
  <c r="BJ117" i="3"/>
  <c r="BI117" i="3"/>
  <c r="BM117" i="3"/>
  <c r="BL117" i="3"/>
  <c r="BN117" i="3"/>
  <c r="BP117" i="3"/>
  <c r="BO117" i="3"/>
  <c r="BQ117" i="3"/>
  <c r="AF116" i="3"/>
  <c r="AE116" i="3"/>
  <c r="AG116" i="3"/>
  <c r="AI116" i="3"/>
  <c r="AH116" i="3"/>
  <c r="AJ116" i="3"/>
  <c r="AL116" i="3"/>
  <c r="AK116" i="3"/>
  <c r="AM116" i="3"/>
  <c r="AO116" i="3"/>
  <c r="AN116" i="3"/>
  <c r="AR116" i="3"/>
  <c r="AQ116" i="3"/>
  <c r="AU116" i="3"/>
  <c r="AT116" i="3"/>
  <c r="AX116" i="3"/>
  <c r="AW116" i="3"/>
  <c r="BA116" i="3"/>
  <c r="AZ116" i="3"/>
  <c r="BD116" i="3"/>
  <c r="BC116" i="3"/>
  <c r="BG116" i="3"/>
  <c r="BF116" i="3"/>
  <c r="BH116" i="3"/>
  <c r="BJ116" i="3"/>
  <c r="BI116" i="3"/>
  <c r="BK116" i="3"/>
  <c r="BM116" i="3"/>
  <c r="BL116" i="3"/>
  <c r="BN116" i="3"/>
  <c r="BP116" i="3"/>
  <c r="BO116" i="3"/>
  <c r="AF115" i="3"/>
  <c r="AI115" i="3"/>
  <c r="AL115" i="3"/>
  <c r="AO115" i="3"/>
  <c r="AR115" i="3"/>
  <c r="AQ115" i="3"/>
  <c r="AS115" i="3"/>
  <c r="AU115" i="3"/>
  <c r="AX115" i="3"/>
  <c r="BA115" i="3"/>
  <c r="AZ115" i="3"/>
  <c r="BB115" i="3"/>
  <c r="BD115" i="3"/>
  <c r="BG115" i="3"/>
  <c r="BJ115" i="3"/>
  <c r="BM115" i="3"/>
  <c r="BP115" i="3"/>
  <c r="BQ115" i="3"/>
  <c r="AE115" i="3"/>
  <c r="AH115" i="3"/>
  <c r="AK115" i="3"/>
  <c r="AN115" i="3"/>
  <c r="AT115" i="3"/>
  <c r="AW115" i="3"/>
  <c r="BC115" i="3"/>
  <c r="BF115" i="3"/>
  <c r="BI115" i="3"/>
  <c r="BL115" i="3"/>
  <c r="BO115" i="3"/>
  <c r="AF114" i="3"/>
  <c r="AI114" i="3"/>
  <c r="AL114" i="3"/>
  <c r="AK114" i="3"/>
  <c r="AM114" i="3"/>
  <c r="AO114" i="3"/>
  <c r="AR114" i="3"/>
  <c r="AU114" i="3"/>
  <c r="AX114" i="3"/>
  <c r="AW114" i="3"/>
  <c r="AY114" i="3"/>
  <c r="BA114" i="3"/>
  <c r="BD114" i="3"/>
  <c r="BG114" i="3"/>
  <c r="BJ114" i="3"/>
  <c r="BM114" i="3"/>
  <c r="BP114" i="3"/>
  <c r="BQ114" i="3"/>
  <c r="AE114" i="3"/>
  <c r="AH114" i="3"/>
  <c r="AN114" i="3"/>
  <c r="AP114" i="3"/>
  <c r="AQ114" i="3"/>
  <c r="AT114" i="3"/>
  <c r="AZ114" i="3"/>
  <c r="BC114" i="3"/>
  <c r="BF114" i="3"/>
  <c r="BI114" i="3"/>
  <c r="BL114" i="3"/>
  <c r="BO114" i="3"/>
  <c r="AF113" i="3"/>
  <c r="AI113" i="3"/>
  <c r="AL113" i="3"/>
  <c r="AO113" i="3"/>
  <c r="AN113" i="3"/>
  <c r="AP113" i="3"/>
  <c r="AR113" i="3"/>
  <c r="AS113" i="3" s="1"/>
  <c r="AU113" i="3"/>
  <c r="AX113" i="3"/>
  <c r="AW113" i="3"/>
  <c r="AY113" i="3"/>
  <c r="BA113" i="3"/>
  <c r="BD113" i="3"/>
  <c r="BC113" i="3"/>
  <c r="BE113" i="3"/>
  <c r="BG113" i="3"/>
  <c r="BJ113" i="3"/>
  <c r="BM113" i="3"/>
  <c r="BP113" i="3"/>
  <c r="AE113" i="3"/>
  <c r="AH113" i="3"/>
  <c r="AK113" i="3"/>
  <c r="AQ113" i="3"/>
  <c r="AT113" i="3"/>
  <c r="AZ113" i="3"/>
  <c r="BF113" i="3"/>
  <c r="BI113" i="3"/>
  <c r="BL113" i="3"/>
  <c r="BO113" i="3"/>
  <c r="AF112" i="3"/>
  <c r="AI112" i="3"/>
  <c r="AL112" i="3"/>
  <c r="AO112" i="3"/>
  <c r="AR112" i="3"/>
  <c r="AU112" i="3"/>
  <c r="AX112" i="3"/>
  <c r="AW112" i="3"/>
  <c r="AY112" i="3"/>
  <c r="BA112" i="3"/>
  <c r="BD112" i="3"/>
  <c r="BG112" i="3"/>
  <c r="BF112" i="3"/>
  <c r="BH112" i="3"/>
  <c r="BJ112" i="3"/>
  <c r="BM112" i="3"/>
  <c r="BP112" i="3"/>
  <c r="AE112" i="3"/>
  <c r="AH112" i="3"/>
  <c r="AK112" i="3"/>
  <c r="AN112" i="3"/>
  <c r="AP112" i="3"/>
  <c r="AQ112" i="3"/>
  <c r="AT112" i="3"/>
  <c r="AZ112" i="3"/>
  <c r="BC112" i="3"/>
  <c r="BI112" i="3"/>
  <c r="BL112" i="3"/>
  <c r="BO112" i="3"/>
  <c r="AF111" i="3"/>
  <c r="AI111" i="3"/>
  <c r="AL111" i="3"/>
  <c r="AO111" i="3"/>
  <c r="AR111" i="3"/>
  <c r="AU111" i="3"/>
  <c r="AX111" i="3"/>
  <c r="AW111" i="3"/>
  <c r="AY111" i="3"/>
  <c r="BA111" i="3"/>
  <c r="BD111" i="3"/>
  <c r="BG111" i="3"/>
  <c r="BJ111" i="3"/>
  <c r="BM111" i="3"/>
  <c r="BP111" i="3"/>
  <c r="AE111" i="3"/>
  <c r="AH111" i="3"/>
  <c r="AK111" i="3"/>
  <c r="AN111" i="3"/>
  <c r="AQ111" i="3"/>
  <c r="AT111" i="3"/>
  <c r="AV111" i="3"/>
  <c r="AZ111" i="3"/>
  <c r="BC111" i="3"/>
  <c r="BF111" i="3"/>
  <c r="BH111" i="3"/>
  <c r="BI111" i="3"/>
  <c r="BL111" i="3"/>
  <c r="BO111" i="3"/>
  <c r="AF110" i="3"/>
  <c r="AI110" i="3"/>
  <c r="AL110" i="3"/>
  <c r="AK110" i="3"/>
  <c r="AM110" i="3"/>
  <c r="AO110" i="3"/>
  <c r="AR110" i="3"/>
  <c r="AU110" i="3"/>
  <c r="AT110" i="3"/>
  <c r="AV110" i="3"/>
  <c r="AX110" i="3"/>
  <c r="BA110" i="3"/>
  <c r="BD110" i="3"/>
  <c r="BG110" i="3"/>
  <c r="BJ110" i="3"/>
  <c r="BM110" i="3"/>
  <c r="BP110" i="3"/>
  <c r="AE110" i="3"/>
  <c r="AH110" i="3"/>
  <c r="AN110" i="3"/>
  <c r="AQ110" i="3"/>
  <c r="AW110" i="3"/>
  <c r="AZ110" i="3"/>
  <c r="BC110" i="3"/>
  <c r="BF110" i="3"/>
  <c r="BI110" i="3"/>
  <c r="BL110" i="3"/>
  <c r="BO110" i="3"/>
  <c r="AF109" i="3"/>
  <c r="AI109" i="3"/>
  <c r="AL109" i="3"/>
  <c r="AK109" i="3"/>
  <c r="AM109" i="3"/>
  <c r="AO109" i="3"/>
  <c r="AR109" i="3"/>
  <c r="AU109" i="3"/>
  <c r="AX109" i="3"/>
  <c r="BA109" i="3"/>
  <c r="BD109" i="3"/>
  <c r="BC109" i="3"/>
  <c r="BE109" i="3"/>
  <c r="BG109" i="3"/>
  <c r="BH109" i="3" s="1"/>
  <c r="BJ109" i="3"/>
  <c r="BM109" i="3"/>
  <c r="BL109" i="3"/>
  <c r="BN109" i="3"/>
  <c r="BP109" i="3"/>
  <c r="AE109" i="3"/>
  <c r="AH109" i="3"/>
  <c r="AJ109" i="3"/>
  <c r="AN109" i="3"/>
  <c r="AQ109" i="3"/>
  <c r="AT109" i="3"/>
  <c r="AW109" i="3"/>
  <c r="AZ109" i="3"/>
  <c r="BF109" i="3"/>
  <c r="BI109" i="3"/>
  <c r="BO109" i="3"/>
  <c r="AF108" i="3"/>
  <c r="AI108" i="3"/>
  <c r="AH108" i="3"/>
  <c r="AJ108" i="3"/>
  <c r="AL108" i="3"/>
  <c r="AO108" i="3"/>
  <c r="AR108" i="3"/>
  <c r="AU108" i="3"/>
  <c r="AX108" i="3"/>
  <c r="BA108" i="3"/>
  <c r="BD108" i="3"/>
  <c r="BC108" i="3"/>
  <c r="BE108" i="3"/>
  <c r="BG108" i="3"/>
  <c r="BF108" i="3"/>
  <c r="BH108" i="3"/>
  <c r="BJ108" i="3"/>
  <c r="BM108" i="3"/>
  <c r="BP108" i="3"/>
  <c r="AE108" i="3"/>
  <c r="AK108" i="3"/>
  <c r="AN108" i="3"/>
  <c r="AQ108" i="3"/>
  <c r="AT108" i="3"/>
  <c r="AW108" i="3"/>
  <c r="AZ108" i="3"/>
  <c r="BI108" i="3"/>
  <c r="BL108" i="3"/>
  <c r="BO108" i="3"/>
  <c r="AF107" i="3"/>
  <c r="AE107" i="3"/>
  <c r="AG107" i="3"/>
  <c r="AI107" i="3"/>
  <c r="AL107" i="3"/>
  <c r="AO107" i="3"/>
  <c r="AR107" i="3"/>
  <c r="AU107" i="3"/>
  <c r="AX107" i="3"/>
  <c r="BA107" i="3"/>
  <c r="AZ107" i="3"/>
  <c r="BB107" i="3"/>
  <c r="BD107" i="3"/>
  <c r="BG107" i="3"/>
  <c r="BJ107" i="3"/>
  <c r="BM107" i="3"/>
  <c r="BP107" i="3"/>
  <c r="AH107" i="3"/>
  <c r="AJ107" i="3" s="1"/>
  <c r="AK107" i="3"/>
  <c r="AN107" i="3"/>
  <c r="AQ107" i="3"/>
  <c r="AT107" i="3"/>
  <c r="AW107" i="3"/>
  <c r="BC107" i="3"/>
  <c r="BF107" i="3"/>
  <c r="BI107" i="3"/>
  <c r="BL107" i="3"/>
  <c r="BO107" i="3"/>
  <c r="AF106" i="3"/>
  <c r="AI106" i="3"/>
  <c r="AL106" i="3"/>
  <c r="AO106" i="3"/>
  <c r="AR106" i="3"/>
  <c r="AU106" i="3"/>
  <c r="AT106" i="3"/>
  <c r="AV106" i="3"/>
  <c r="AX106" i="3"/>
  <c r="AW106" i="3"/>
  <c r="AY106" i="3"/>
  <c r="BA106" i="3"/>
  <c r="BD106" i="3"/>
  <c r="BG106" i="3"/>
  <c r="BJ106" i="3"/>
  <c r="BI106" i="3"/>
  <c r="BK106" i="3"/>
  <c r="BM106" i="3"/>
  <c r="BP106" i="3"/>
  <c r="AE106" i="3"/>
  <c r="AH106" i="3"/>
  <c r="AK106" i="3"/>
  <c r="AN106" i="3"/>
  <c r="AQ106" i="3"/>
  <c r="AZ106" i="3"/>
  <c r="BB106" i="3"/>
  <c r="BC106" i="3"/>
  <c r="BF106" i="3"/>
  <c r="BL106" i="3"/>
  <c r="BO106" i="3"/>
  <c r="D105" i="3"/>
  <c r="D104" i="3"/>
  <c r="D103" i="3"/>
  <c r="D102" i="3"/>
  <c r="D101" i="3"/>
  <c r="D100" i="3"/>
  <c r="D99" i="3"/>
  <c r="D98" i="3"/>
  <c r="D97" i="3"/>
  <c r="D96" i="3"/>
  <c r="H95" i="3"/>
  <c r="G95" i="3"/>
  <c r="K95" i="3"/>
  <c r="J95" i="3"/>
  <c r="N95" i="3"/>
  <c r="M95" i="3"/>
  <c r="Q95" i="3"/>
  <c r="P95" i="3"/>
  <c r="T95" i="3"/>
  <c r="S95" i="3"/>
  <c r="W95" i="3"/>
  <c r="V95" i="3"/>
  <c r="Z95" i="3"/>
  <c r="Y95" i="3"/>
  <c r="AA95" i="3" s="1"/>
  <c r="AC95" i="3"/>
  <c r="AB95" i="3"/>
  <c r="AF95" i="3"/>
  <c r="AE95" i="3"/>
  <c r="AI95" i="3"/>
  <c r="AH95" i="3"/>
  <c r="AL95" i="3"/>
  <c r="AK95" i="3"/>
  <c r="AO95" i="3"/>
  <c r="AN95" i="3"/>
  <c r="AR95" i="3"/>
  <c r="AQ95" i="3"/>
  <c r="AU95" i="3"/>
  <c r="AT95" i="3"/>
  <c r="AX95" i="3"/>
  <c r="AW95" i="3"/>
  <c r="BA95" i="3"/>
  <c r="AZ95" i="3"/>
  <c r="BD95" i="3"/>
  <c r="BC95" i="3"/>
  <c r="BG95" i="3"/>
  <c r="BF95" i="3"/>
  <c r="BJ95" i="3"/>
  <c r="BI95" i="3"/>
  <c r="BM95" i="3"/>
  <c r="BL95" i="3"/>
  <c r="BP95" i="3"/>
  <c r="BQ95" i="3"/>
  <c r="BO95" i="3"/>
  <c r="H94" i="3"/>
  <c r="G94" i="3"/>
  <c r="K94" i="3"/>
  <c r="J94" i="3"/>
  <c r="N94" i="3"/>
  <c r="M94" i="3"/>
  <c r="Q94" i="3"/>
  <c r="P94" i="3"/>
  <c r="R94" i="3" s="1"/>
  <c r="T94" i="3"/>
  <c r="S94" i="3"/>
  <c r="W94" i="3"/>
  <c r="V94" i="3"/>
  <c r="X94" i="3"/>
  <c r="Z94" i="3"/>
  <c r="Y94" i="3"/>
  <c r="AA94" i="3"/>
  <c r="AC94" i="3"/>
  <c r="AB94" i="3"/>
  <c r="AF94" i="3"/>
  <c r="AE94" i="3"/>
  <c r="AI94" i="3"/>
  <c r="AH94" i="3"/>
  <c r="AL94" i="3"/>
  <c r="AK94" i="3"/>
  <c r="AO94" i="3"/>
  <c r="AN94" i="3"/>
  <c r="AP94" i="3"/>
  <c r="AR94" i="3"/>
  <c r="AQ94" i="3"/>
  <c r="AU94" i="3"/>
  <c r="AT94" i="3"/>
  <c r="AX94" i="3"/>
  <c r="AW94" i="3"/>
  <c r="AY94" i="3" s="1"/>
  <c r="BA94" i="3"/>
  <c r="AZ94" i="3"/>
  <c r="BD94" i="3"/>
  <c r="BC94" i="3"/>
  <c r="BG94" i="3"/>
  <c r="BF94" i="3"/>
  <c r="BJ94" i="3"/>
  <c r="BK94" i="3" s="1"/>
  <c r="BI94" i="3"/>
  <c r="BM94" i="3"/>
  <c r="BL94" i="3"/>
  <c r="BP94" i="3"/>
  <c r="BO94" i="3"/>
  <c r="H93" i="3"/>
  <c r="G93" i="3"/>
  <c r="K93" i="3"/>
  <c r="J93" i="3"/>
  <c r="L93" i="3" s="1"/>
  <c r="N93" i="3"/>
  <c r="M93" i="3"/>
  <c r="Q93" i="3"/>
  <c r="P93" i="3"/>
  <c r="T93" i="3"/>
  <c r="S93" i="3"/>
  <c r="W93" i="3"/>
  <c r="V93" i="3"/>
  <c r="Z93" i="3"/>
  <c r="Y93" i="3"/>
  <c r="AA93" i="3" s="1"/>
  <c r="AC93" i="3"/>
  <c r="AB93" i="3"/>
  <c r="AF93" i="3"/>
  <c r="AE93" i="3"/>
  <c r="AI93" i="3"/>
  <c r="AH93" i="3"/>
  <c r="AL93" i="3"/>
  <c r="AK93" i="3"/>
  <c r="AO93" i="3"/>
  <c r="AN93" i="3"/>
  <c r="AR93" i="3"/>
  <c r="AQ93" i="3"/>
  <c r="AU93" i="3"/>
  <c r="AT93" i="3"/>
  <c r="AX93" i="3"/>
  <c r="AW93" i="3"/>
  <c r="BA93" i="3"/>
  <c r="AZ93" i="3"/>
  <c r="BD93" i="3"/>
  <c r="BC93" i="3"/>
  <c r="BE93" i="3" s="1"/>
  <c r="BG93" i="3"/>
  <c r="BF93" i="3"/>
  <c r="BJ93" i="3"/>
  <c r="BI93" i="3"/>
  <c r="BM93" i="3"/>
  <c r="BL93" i="3"/>
  <c r="BN93" i="3"/>
  <c r="BP93" i="3"/>
  <c r="BO93" i="3"/>
  <c r="H92" i="3"/>
  <c r="G92" i="3"/>
  <c r="K92" i="3"/>
  <c r="J92" i="3"/>
  <c r="L92" i="3" s="1"/>
  <c r="N92" i="3"/>
  <c r="M92" i="3"/>
  <c r="Q92" i="3"/>
  <c r="P92" i="3"/>
  <c r="T92" i="3"/>
  <c r="S92" i="3"/>
  <c r="W92" i="3"/>
  <c r="V92" i="3"/>
  <c r="Z92" i="3"/>
  <c r="Y92" i="3"/>
  <c r="AC92" i="3"/>
  <c r="AB92" i="3"/>
  <c r="AF92" i="3"/>
  <c r="AE92" i="3"/>
  <c r="AI92" i="3"/>
  <c r="AH92" i="3"/>
  <c r="AJ92" i="3" s="1"/>
  <c r="AL92" i="3"/>
  <c r="AK92" i="3"/>
  <c r="AO92" i="3"/>
  <c r="AN92" i="3"/>
  <c r="AP92" i="3" s="1"/>
  <c r="AR92" i="3"/>
  <c r="AQ92" i="3"/>
  <c r="AS92" i="3"/>
  <c r="AU92" i="3"/>
  <c r="AT92" i="3"/>
  <c r="AX92" i="3"/>
  <c r="AW92" i="3"/>
  <c r="BA92" i="3"/>
  <c r="AZ92" i="3"/>
  <c r="BD92" i="3"/>
  <c r="BC92" i="3"/>
  <c r="BG92" i="3"/>
  <c r="BF92" i="3"/>
  <c r="BH92" i="3"/>
  <c r="BJ92" i="3"/>
  <c r="D45" i="14"/>
  <c r="BI92" i="3"/>
  <c r="BM92" i="3"/>
  <c r="BL92" i="3"/>
  <c r="BP92" i="3"/>
  <c r="BO92" i="3"/>
  <c r="BQ92" i="3"/>
  <c r="H91" i="3"/>
  <c r="G91" i="3"/>
  <c r="K91" i="3"/>
  <c r="J91" i="3"/>
  <c r="L91" i="3" s="1"/>
  <c r="N91" i="3"/>
  <c r="M91" i="3"/>
  <c r="O91" i="3" s="1"/>
  <c r="Q91" i="3"/>
  <c r="P91" i="3"/>
  <c r="T91" i="3"/>
  <c r="S91" i="3"/>
  <c r="W91" i="3"/>
  <c r="V91" i="3"/>
  <c r="X91" i="3"/>
  <c r="Z91" i="3"/>
  <c r="Y91" i="3"/>
  <c r="AC91" i="3"/>
  <c r="AB91" i="3"/>
  <c r="AD91" i="3"/>
  <c r="AF91" i="3"/>
  <c r="AE91" i="3"/>
  <c r="AI91" i="3"/>
  <c r="AH91" i="3"/>
  <c r="AL91" i="3"/>
  <c r="AK91" i="3"/>
  <c r="AO91" i="3"/>
  <c r="AN91" i="3"/>
  <c r="AR91" i="3"/>
  <c r="AQ91" i="3"/>
  <c r="AU91" i="3"/>
  <c r="AT91" i="3"/>
  <c r="AV91" i="3"/>
  <c r="AX91" i="3"/>
  <c r="AW91" i="3"/>
  <c r="AY91" i="3"/>
  <c r="BA91" i="3"/>
  <c r="AZ91" i="3"/>
  <c r="BD91" i="3"/>
  <c r="BC91" i="3"/>
  <c r="BG91" i="3"/>
  <c r="BF91" i="3"/>
  <c r="BJ91" i="3"/>
  <c r="BI91" i="3"/>
  <c r="BK91" i="3"/>
  <c r="BM91" i="3"/>
  <c r="BL91" i="3"/>
  <c r="BP91" i="3"/>
  <c r="D114" i="14"/>
  <c r="BO91" i="3"/>
  <c r="H90" i="3"/>
  <c r="G90" i="3"/>
  <c r="K90" i="3"/>
  <c r="J90" i="3"/>
  <c r="N90" i="3"/>
  <c r="M90" i="3"/>
  <c r="Q90" i="3"/>
  <c r="P90" i="3"/>
  <c r="T90" i="3"/>
  <c r="S90" i="3"/>
  <c r="U90" i="3" s="1"/>
  <c r="W90" i="3"/>
  <c r="V90" i="3"/>
  <c r="Z90" i="3"/>
  <c r="Y90" i="3"/>
  <c r="AC90" i="3"/>
  <c r="AB90" i="3"/>
  <c r="AF90" i="3"/>
  <c r="AE90" i="3"/>
  <c r="AG90" i="3"/>
  <c r="AI90" i="3"/>
  <c r="AH90" i="3"/>
  <c r="AJ90" i="3"/>
  <c r="AL90" i="3"/>
  <c r="AK90" i="3"/>
  <c r="AM90" i="3"/>
  <c r="AO90" i="3"/>
  <c r="AN90" i="3"/>
  <c r="AR90" i="3"/>
  <c r="AQ90" i="3"/>
  <c r="AU90" i="3"/>
  <c r="AT90" i="3"/>
  <c r="AX90" i="3"/>
  <c r="AW90" i="3"/>
  <c r="BA90" i="3"/>
  <c r="AZ90" i="3"/>
  <c r="BD90" i="3"/>
  <c r="BC90" i="3"/>
  <c r="BE90" i="3" s="1"/>
  <c r="BG90" i="3"/>
  <c r="BF90" i="3"/>
  <c r="BJ90" i="3"/>
  <c r="BI90" i="3"/>
  <c r="BK90" i="3"/>
  <c r="BM90" i="3"/>
  <c r="BL90" i="3"/>
  <c r="BP90" i="3"/>
  <c r="BO90" i="3"/>
  <c r="H89" i="3"/>
  <c r="G89" i="3"/>
  <c r="K89" i="3"/>
  <c r="J89" i="3"/>
  <c r="N89" i="3"/>
  <c r="M89" i="3"/>
  <c r="Q89" i="3"/>
  <c r="P89" i="3"/>
  <c r="R89" i="3"/>
  <c r="T89" i="3"/>
  <c r="S89" i="3"/>
  <c r="W89" i="3"/>
  <c r="V89" i="3"/>
  <c r="Z89" i="3"/>
  <c r="Y89" i="3"/>
  <c r="AC89" i="3"/>
  <c r="AB89" i="3"/>
  <c r="AD89" i="3"/>
  <c r="AF89" i="3"/>
  <c r="AE89" i="3"/>
  <c r="AG89" i="3"/>
  <c r="AI89" i="3"/>
  <c r="AH89" i="3"/>
  <c r="AL89" i="3"/>
  <c r="AK89" i="3"/>
  <c r="AM89" i="3"/>
  <c r="AO89" i="3"/>
  <c r="AN89" i="3"/>
  <c r="AR89" i="3"/>
  <c r="AQ89" i="3"/>
  <c r="AS89" i="3" s="1"/>
  <c r="AU89" i="3"/>
  <c r="AT89" i="3"/>
  <c r="AV89" i="3" s="1"/>
  <c r="AX89" i="3"/>
  <c r="AW89" i="3"/>
  <c r="AY89" i="3"/>
  <c r="BA89" i="3"/>
  <c r="AZ89" i="3"/>
  <c r="BD89" i="3"/>
  <c r="BC89" i="3"/>
  <c r="BG89" i="3"/>
  <c r="BF89" i="3"/>
  <c r="BJ89" i="3"/>
  <c r="BI89" i="3"/>
  <c r="BM89" i="3"/>
  <c r="BL89" i="3"/>
  <c r="BN89" i="3" s="1"/>
  <c r="BP89" i="3"/>
  <c r="BO89" i="3"/>
  <c r="H88" i="3"/>
  <c r="G88" i="3"/>
  <c r="K88" i="3"/>
  <c r="J88" i="3"/>
  <c r="L88" i="3"/>
  <c r="N88" i="3"/>
  <c r="M88" i="3"/>
  <c r="O88" i="3"/>
  <c r="Q88" i="3"/>
  <c r="P88" i="3"/>
  <c r="R88" i="3" s="1"/>
  <c r="T88" i="3"/>
  <c r="S88" i="3"/>
  <c r="U88" i="3"/>
  <c r="W88" i="3"/>
  <c r="V88" i="3"/>
  <c r="Z88" i="3"/>
  <c r="Y88" i="3"/>
  <c r="AA88" i="3"/>
  <c r="AC88" i="3"/>
  <c r="AB88" i="3"/>
  <c r="AF88" i="3"/>
  <c r="AE88" i="3"/>
  <c r="AG88" i="3" s="1"/>
  <c r="AI88" i="3"/>
  <c r="AH88" i="3"/>
  <c r="AL88" i="3"/>
  <c r="AK88" i="3"/>
  <c r="AO88" i="3"/>
  <c r="AN88" i="3"/>
  <c r="AR88" i="3"/>
  <c r="AQ88" i="3"/>
  <c r="AU88" i="3"/>
  <c r="AT88" i="3"/>
  <c r="AV88" i="3"/>
  <c r="AX88" i="3"/>
  <c r="AW88" i="3"/>
  <c r="BA88" i="3"/>
  <c r="BB88" i="3" s="1"/>
  <c r="AZ88" i="3"/>
  <c r="BD88" i="3"/>
  <c r="BC88" i="3"/>
  <c r="BG88" i="3"/>
  <c r="BF88" i="3"/>
  <c r="BJ88" i="3"/>
  <c r="BI88" i="3"/>
  <c r="BK88" i="3"/>
  <c r="BM88" i="3"/>
  <c r="D76" i="14"/>
  <c r="BL88" i="3"/>
  <c r="BP88" i="3"/>
  <c r="BO88" i="3"/>
  <c r="BQ88" i="3"/>
  <c r="H87" i="3"/>
  <c r="D5" i="14"/>
  <c r="G87" i="3"/>
  <c r="K87" i="3"/>
  <c r="J87" i="3"/>
  <c r="N87" i="3"/>
  <c r="M87" i="3"/>
  <c r="Q87" i="3"/>
  <c r="P87" i="3"/>
  <c r="T87" i="3"/>
  <c r="S87" i="3"/>
  <c r="W87" i="3"/>
  <c r="V87" i="3"/>
  <c r="Z87" i="3"/>
  <c r="Y87" i="3"/>
  <c r="AC87" i="3"/>
  <c r="AB87" i="3"/>
  <c r="AF87" i="3"/>
  <c r="AE87" i="3"/>
  <c r="AI87" i="3"/>
  <c r="AH87" i="3"/>
  <c r="AJ87" i="3"/>
  <c r="AL87" i="3"/>
  <c r="AK87" i="3"/>
  <c r="AM87" i="3"/>
  <c r="AO87" i="3"/>
  <c r="AN87" i="3"/>
  <c r="AP87" i="3"/>
  <c r="AR87" i="3"/>
  <c r="AQ87" i="3"/>
  <c r="AU87" i="3"/>
  <c r="AT87" i="3"/>
  <c r="AV87" i="3"/>
  <c r="AX87" i="3"/>
  <c r="AW87" i="3"/>
  <c r="BA87" i="3"/>
  <c r="AZ87" i="3"/>
  <c r="BD87" i="3"/>
  <c r="BC87" i="3"/>
  <c r="BG87" i="3"/>
  <c r="BH87" i="3" s="1"/>
  <c r="BF87" i="3"/>
  <c r="BJ87" i="3"/>
  <c r="BI87" i="3"/>
  <c r="BM87" i="3"/>
  <c r="BL87" i="3"/>
  <c r="BP87" i="3"/>
  <c r="BO87" i="3"/>
  <c r="H86" i="3"/>
  <c r="G86" i="3"/>
  <c r="I86" i="3" s="1"/>
  <c r="K86" i="3"/>
  <c r="J86" i="3"/>
  <c r="N86" i="3"/>
  <c r="M86" i="3"/>
  <c r="O86" i="3"/>
  <c r="Q86" i="3"/>
  <c r="P86" i="3"/>
  <c r="T86" i="3"/>
  <c r="S86" i="3"/>
  <c r="U86" i="3"/>
  <c r="W86" i="3"/>
  <c r="V86" i="3"/>
  <c r="Z86" i="3"/>
  <c r="Y86" i="3"/>
  <c r="AC86" i="3"/>
  <c r="AB86" i="3"/>
  <c r="AF86" i="3"/>
  <c r="AE86" i="3"/>
  <c r="AI86" i="3"/>
  <c r="AH86" i="3"/>
  <c r="AL86" i="3"/>
  <c r="AK86" i="3"/>
  <c r="AM86" i="3" s="1"/>
  <c r="AO86" i="3"/>
  <c r="AN86" i="3"/>
  <c r="AR86" i="3"/>
  <c r="AQ86" i="3"/>
  <c r="AU86" i="3"/>
  <c r="AT86" i="3"/>
  <c r="AX86" i="3"/>
  <c r="AW86" i="3"/>
  <c r="AY86" i="3"/>
  <c r="BA86" i="3"/>
  <c r="AZ86" i="3"/>
  <c r="BD86" i="3"/>
  <c r="BC86" i="3"/>
  <c r="BG86" i="3"/>
  <c r="BF86" i="3"/>
  <c r="BJ86" i="3"/>
  <c r="BI86" i="3"/>
  <c r="BM86" i="3"/>
  <c r="BL86" i="3"/>
  <c r="BP86" i="3"/>
  <c r="BO86" i="3"/>
  <c r="BQ86" i="3"/>
  <c r="G85" i="3"/>
  <c r="AH84" i="3"/>
  <c r="AK84" i="3"/>
  <c r="AN84" i="3"/>
  <c r="AQ84" i="3"/>
  <c r="AT84" i="3"/>
  <c r="AW84" i="3"/>
  <c r="AW83" i="3"/>
  <c r="BF83" i="3"/>
  <c r="AE82" i="3"/>
  <c r="AH81" i="3"/>
  <c r="AN81" i="3"/>
  <c r="AQ81" i="3"/>
  <c r="AW81" i="3"/>
  <c r="AZ80" i="3"/>
  <c r="BC80" i="3"/>
  <c r="BF80" i="3"/>
  <c r="BI80" i="3"/>
  <c r="AE79" i="3"/>
  <c r="AH78" i="3"/>
  <c r="AQ78" i="3"/>
  <c r="AT78" i="3"/>
  <c r="AZ78" i="3"/>
  <c r="BC78" i="3"/>
  <c r="BC77" i="3"/>
  <c r="BI77" i="3"/>
  <c r="BL77" i="3"/>
  <c r="BO77" i="3"/>
  <c r="G76" i="3"/>
  <c r="BO76" i="3"/>
  <c r="G75" i="3"/>
  <c r="J75" i="3"/>
  <c r="M75" i="3"/>
  <c r="P75" i="3"/>
  <c r="S75" i="3"/>
  <c r="V75" i="3"/>
  <c r="Y75" i="3"/>
  <c r="AB75" i="3"/>
  <c r="AE75" i="3"/>
  <c r="AH75" i="3"/>
  <c r="AK75" i="3"/>
  <c r="AN75" i="3"/>
  <c r="AQ75" i="3"/>
  <c r="AT75" i="3"/>
  <c r="AW75" i="3"/>
  <c r="AZ75" i="3"/>
  <c r="BC75" i="3"/>
  <c r="BF75" i="3"/>
  <c r="BI75" i="3"/>
  <c r="BL75" i="3"/>
  <c r="BO75" i="3"/>
  <c r="G74"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I64" i="3"/>
  <c r="L64" i="3"/>
  <c r="O64" i="3"/>
  <c r="R64" i="3"/>
  <c r="U64" i="3"/>
  <c r="X64" i="3"/>
  <c r="AA64" i="3"/>
  <c r="AD64" i="3"/>
  <c r="AG64" i="3"/>
  <c r="AJ64" i="3"/>
  <c r="AM64" i="3"/>
  <c r="AP64" i="3"/>
  <c r="AS64" i="3"/>
  <c r="AV64" i="3"/>
  <c r="AY64" i="3"/>
  <c r="BB64" i="3"/>
  <c r="BE64" i="3"/>
  <c r="BH64" i="3"/>
  <c r="BK64" i="3"/>
  <c r="BN64" i="3"/>
  <c r="BQ64" i="3"/>
  <c r="E64" i="3"/>
  <c r="D64" i="3"/>
  <c r="I63" i="3"/>
  <c r="L63" i="3"/>
  <c r="O63" i="3"/>
  <c r="R63" i="3"/>
  <c r="U63" i="3"/>
  <c r="X63" i="3"/>
  <c r="AA63" i="3"/>
  <c r="AD63" i="3"/>
  <c r="AG63" i="3"/>
  <c r="AJ63" i="3"/>
  <c r="AM63" i="3"/>
  <c r="AP63" i="3"/>
  <c r="AS63" i="3"/>
  <c r="AV63" i="3"/>
  <c r="AY63" i="3"/>
  <c r="BB63" i="3"/>
  <c r="BE63" i="3"/>
  <c r="BH63" i="3"/>
  <c r="BK63" i="3"/>
  <c r="BN63" i="3"/>
  <c r="BQ63" i="3"/>
  <c r="E63" i="3"/>
  <c r="D63" i="3"/>
  <c r="I62" i="3"/>
  <c r="L62" i="3"/>
  <c r="O62" i="3"/>
  <c r="R62" i="3"/>
  <c r="U62" i="3"/>
  <c r="X62" i="3"/>
  <c r="AA62" i="3"/>
  <c r="AD62" i="3"/>
  <c r="AG62" i="3"/>
  <c r="AJ62" i="3"/>
  <c r="AM62" i="3"/>
  <c r="AP62" i="3"/>
  <c r="AS62" i="3"/>
  <c r="AV62" i="3"/>
  <c r="AY62" i="3"/>
  <c r="BB62" i="3"/>
  <c r="BE62" i="3"/>
  <c r="BH62" i="3"/>
  <c r="BK62" i="3"/>
  <c r="BN62" i="3"/>
  <c r="BQ62" i="3"/>
  <c r="E62" i="3"/>
  <c r="D62" i="3"/>
  <c r="I61" i="3"/>
  <c r="L61" i="3"/>
  <c r="O61" i="3"/>
  <c r="R61" i="3"/>
  <c r="U61" i="3"/>
  <c r="X61" i="3"/>
  <c r="AA61" i="3"/>
  <c r="AD61" i="3"/>
  <c r="AG61" i="3"/>
  <c r="AJ61" i="3"/>
  <c r="AM61" i="3"/>
  <c r="AP61" i="3"/>
  <c r="AS61" i="3"/>
  <c r="AV61" i="3"/>
  <c r="AY61" i="3"/>
  <c r="BB61" i="3"/>
  <c r="BE61" i="3"/>
  <c r="BH61" i="3"/>
  <c r="BK61" i="3"/>
  <c r="BN61" i="3"/>
  <c r="BQ61" i="3"/>
  <c r="E61" i="3"/>
  <c r="D61" i="3"/>
  <c r="I60" i="3"/>
  <c r="L60" i="3"/>
  <c r="O60" i="3"/>
  <c r="R60" i="3"/>
  <c r="U60" i="3"/>
  <c r="X60" i="3"/>
  <c r="AA60" i="3"/>
  <c r="AD60" i="3"/>
  <c r="AG60" i="3"/>
  <c r="AJ60" i="3"/>
  <c r="AM60" i="3"/>
  <c r="AP60" i="3"/>
  <c r="AS60" i="3"/>
  <c r="AV60" i="3"/>
  <c r="AY60" i="3"/>
  <c r="BB60" i="3"/>
  <c r="BE60" i="3"/>
  <c r="BH60" i="3"/>
  <c r="BK60" i="3"/>
  <c r="BN60" i="3"/>
  <c r="BQ60" i="3"/>
  <c r="E60" i="3"/>
  <c r="D60" i="3"/>
  <c r="I59" i="3"/>
  <c r="L59" i="3"/>
  <c r="O59" i="3"/>
  <c r="R59" i="3"/>
  <c r="U59" i="3"/>
  <c r="X59" i="3"/>
  <c r="AA59" i="3"/>
  <c r="AD59" i="3"/>
  <c r="AG59" i="3"/>
  <c r="AJ59" i="3"/>
  <c r="AM59" i="3"/>
  <c r="AP59" i="3"/>
  <c r="AS59" i="3"/>
  <c r="AV59" i="3"/>
  <c r="AY59" i="3"/>
  <c r="BB59" i="3"/>
  <c r="BE59" i="3"/>
  <c r="BH59" i="3"/>
  <c r="BK59" i="3"/>
  <c r="BN59" i="3"/>
  <c r="BQ59" i="3"/>
  <c r="E59" i="3"/>
  <c r="D59" i="3"/>
  <c r="I58" i="3"/>
  <c r="L58" i="3"/>
  <c r="O58" i="3"/>
  <c r="R58" i="3"/>
  <c r="U58" i="3"/>
  <c r="X58" i="3"/>
  <c r="AA58" i="3"/>
  <c r="AD58" i="3"/>
  <c r="AG58" i="3"/>
  <c r="AJ58" i="3"/>
  <c r="AM58" i="3"/>
  <c r="AP58" i="3"/>
  <c r="AS58" i="3"/>
  <c r="AV58" i="3"/>
  <c r="AY58" i="3"/>
  <c r="BB58" i="3"/>
  <c r="BE58" i="3"/>
  <c r="BH58" i="3"/>
  <c r="BK58" i="3"/>
  <c r="BN58" i="3"/>
  <c r="BQ58" i="3"/>
  <c r="E58" i="3"/>
  <c r="D58" i="3"/>
  <c r="I57" i="3"/>
  <c r="L57" i="3"/>
  <c r="O57" i="3"/>
  <c r="R57" i="3"/>
  <c r="U57" i="3"/>
  <c r="X57" i="3"/>
  <c r="AA57" i="3"/>
  <c r="AD57" i="3"/>
  <c r="AG57" i="3"/>
  <c r="AJ57" i="3"/>
  <c r="AM57" i="3"/>
  <c r="AP57" i="3"/>
  <c r="AS57" i="3"/>
  <c r="AV57" i="3"/>
  <c r="AY57" i="3"/>
  <c r="BB57" i="3"/>
  <c r="BE57" i="3"/>
  <c r="BH57" i="3"/>
  <c r="BK57" i="3"/>
  <c r="BN57" i="3"/>
  <c r="BQ57" i="3"/>
  <c r="E57" i="3"/>
  <c r="D57" i="3"/>
  <c r="I56" i="3"/>
  <c r="L56" i="3"/>
  <c r="O56" i="3"/>
  <c r="R56" i="3"/>
  <c r="U56" i="3"/>
  <c r="X56" i="3"/>
  <c r="AA56" i="3"/>
  <c r="AD56" i="3"/>
  <c r="AG56" i="3"/>
  <c r="AJ56" i="3"/>
  <c r="AM56" i="3"/>
  <c r="AP56" i="3"/>
  <c r="AS56" i="3"/>
  <c r="AV56" i="3"/>
  <c r="AY56" i="3"/>
  <c r="BB56" i="3"/>
  <c r="BE56" i="3"/>
  <c r="BH56" i="3"/>
  <c r="BK56" i="3"/>
  <c r="BN56" i="3"/>
  <c r="BQ56" i="3"/>
  <c r="E56" i="3"/>
  <c r="D56" i="3"/>
  <c r="I55" i="3"/>
  <c r="L55" i="3"/>
  <c r="F55" i="3"/>
  <c r="O55" i="3"/>
  <c r="R55" i="3"/>
  <c r="U55" i="3"/>
  <c r="X55" i="3"/>
  <c r="AA55" i="3"/>
  <c r="AD55" i="3"/>
  <c r="AG55" i="3"/>
  <c r="AJ55" i="3"/>
  <c r="AM55" i="3"/>
  <c r="AP55" i="3"/>
  <c r="AS55" i="3"/>
  <c r="AV55" i="3"/>
  <c r="AY55" i="3"/>
  <c r="BB55" i="3"/>
  <c r="BE55" i="3"/>
  <c r="BH55" i="3"/>
  <c r="BK55" i="3"/>
  <c r="BN55" i="3"/>
  <c r="BQ55" i="3"/>
  <c r="E55" i="3"/>
  <c r="D55" i="3"/>
  <c r="E54" i="3"/>
  <c r="D54" i="3"/>
  <c r="E53" i="3"/>
  <c r="D53" i="3"/>
  <c r="E52" i="3"/>
  <c r="D52" i="3"/>
  <c r="E51" i="3"/>
  <c r="D51" i="3"/>
  <c r="E50" i="3"/>
  <c r="D50" i="3"/>
  <c r="F50" i="3" s="1"/>
  <c r="E49" i="3"/>
  <c r="D49" i="3"/>
  <c r="E48" i="3"/>
  <c r="D48" i="3"/>
  <c r="E47" i="3"/>
  <c r="D47" i="3"/>
  <c r="E46" i="3"/>
  <c r="D46" i="3"/>
  <c r="E45" i="3"/>
  <c r="D45" i="3"/>
  <c r="F45" i="3" s="1"/>
  <c r="I14" i="3"/>
  <c r="L14" i="3"/>
  <c r="O14" i="3"/>
  <c r="R14" i="3"/>
  <c r="U14" i="3"/>
  <c r="X14" i="3"/>
  <c r="AA14" i="3"/>
  <c r="AD14" i="3"/>
  <c r="AG14" i="3"/>
  <c r="AJ14" i="3"/>
  <c r="AM14" i="3"/>
  <c r="AP14" i="3"/>
  <c r="AS14" i="3"/>
  <c r="AV14" i="3"/>
  <c r="AY14" i="3"/>
  <c r="BB14" i="3"/>
  <c r="BE14" i="3"/>
  <c r="BH14" i="3"/>
  <c r="BK14" i="3"/>
  <c r="BN14" i="3"/>
  <c r="BQ14" i="3"/>
  <c r="I13" i="3"/>
  <c r="L13" i="3"/>
  <c r="O13" i="3"/>
  <c r="R13" i="3"/>
  <c r="U13" i="3"/>
  <c r="X13" i="3"/>
  <c r="AA13" i="3"/>
  <c r="AD13" i="3"/>
  <c r="AG13" i="3"/>
  <c r="AJ13" i="3"/>
  <c r="AM13" i="3"/>
  <c r="AP13" i="3"/>
  <c r="AS13" i="3"/>
  <c r="AV13" i="3"/>
  <c r="AY13" i="3"/>
  <c r="BB13" i="3"/>
  <c r="BE13" i="3"/>
  <c r="BH13" i="3"/>
  <c r="BK13" i="3"/>
  <c r="BN13" i="3"/>
  <c r="BQ13" i="3"/>
  <c r="I12" i="3"/>
  <c r="L12" i="3"/>
  <c r="O12" i="3"/>
  <c r="R12" i="3"/>
  <c r="U12" i="3"/>
  <c r="X12" i="3"/>
  <c r="AA12" i="3"/>
  <c r="AD12" i="3"/>
  <c r="AG12" i="3"/>
  <c r="AJ12" i="3"/>
  <c r="AM12" i="3"/>
  <c r="AP12" i="3"/>
  <c r="AS12" i="3"/>
  <c r="AV12" i="3"/>
  <c r="AY12" i="3"/>
  <c r="BB12" i="3"/>
  <c r="BE12" i="3"/>
  <c r="BH12" i="3"/>
  <c r="BK12" i="3"/>
  <c r="BN12" i="3"/>
  <c r="BQ12" i="3"/>
  <c r="I11" i="3"/>
  <c r="L11" i="3"/>
  <c r="O11" i="3"/>
  <c r="R11" i="3"/>
  <c r="U11" i="3"/>
  <c r="X11" i="3"/>
  <c r="AA11" i="3"/>
  <c r="AD11" i="3"/>
  <c r="AG11" i="3"/>
  <c r="AJ11" i="3"/>
  <c r="AM11" i="3"/>
  <c r="AP11" i="3"/>
  <c r="AS11" i="3"/>
  <c r="AV11" i="3"/>
  <c r="AY11" i="3"/>
  <c r="BB11" i="3"/>
  <c r="BE11" i="3"/>
  <c r="BH11" i="3"/>
  <c r="BK11" i="3"/>
  <c r="BN11" i="3"/>
  <c r="BQ11" i="3"/>
  <c r="I10" i="3"/>
  <c r="L10" i="3"/>
  <c r="O10" i="3"/>
  <c r="R10" i="3"/>
  <c r="U10" i="3"/>
  <c r="X10" i="3"/>
  <c r="AA10" i="3"/>
  <c r="AD10" i="3"/>
  <c r="AG10" i="3"/>
  <c r="AJ10" i="3"/>
  <c r="AM10" i="3"/>
  <c r="AP10" i="3"/>
  <c r="AS10" i="3"/>
  <c r="AV10" i="3"/>
  <c r="AY10" i="3"/>
  <c r="BB10" i="3"/>
  <c r="BE10" i="3"/>
  <c r="BH10" i="3"/>
  <c r="BK10" i="3"/>
  <c r="BN10" i="3"/>
  <c r="F10" i="3"/>
  <c r="BQ10" i="3"/>
  <c r="I9" i="3"/>
  <c r="L9" i="3"/>
  <c r="O9" i="3"/>
  <c r="R9" i="3"/>
  <c r="U9" i="3"/>
  <c r="X9" i="3"/>
  <c r="AA9" i="3"/>
  <c r="AD9" i="3"/>
  <c r="AG9" i="3"/>
  <c r="AJ9" i="3"/>
  <c r="AM9" i="3"/>
  <c r="AP9" i="3"/>
  <c r="AS9" i="3"/>
  <c r="AV9" i="3"/>
  <c r="AY9" i="3"/>
  <c r="BB9" i="3"/>
  <c r="BE9" i="3"/>
  <c r="BH9" i="3"/>
  <c r="BK9" i="3"/>
  <c r="BN9" i="3"/>
  <c r="BQ9" i="3"/>
  <c r="I8" i="3"/>
  <c r="L8" i="3"/>
  <c r="O8" i="3"/>
  <c r="R8" i="3"/>
  <c r="U8" i="3"/>
  <c r="X8" i="3"/>
  <c r="AA8" i="3"/>
  <c r="AD8" i="3"/>
  <c r="AG8" i="3"/>
  <c r="AJ8" i="3"/>
  <c r="AM8" i="3"/>
  <c r="AP8" i="3"/>
  <c r="AS8" i="3"/>
  <c r="AV8" i="3"/>
  <c r="AY8" i="3"/>
  <c r="BB8" i="3"/>
  <c r="BE8" i="3"/>
  <c r="BH8" i="3"/>
  <c r="BK8" i="3"/>
  <c r="BN8" i="3"/>
  <c r="BQ8" i="3"/>
  <c r="I7" i="3"/>
  <c r="L7"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E14" i="3"/>
  <c r="E13" i="3"/>
  <c r="E12" i="3"/>
  <c r="E11" i="3"/>
  <c r="E10" i="3"/>
  <c r="E9" i="3"/>
  <c r="E8" i="3"/>
  <c r="E7" i="3"/>
  <c r="E6" i="3"/>
  <c r="E5" i="3"/>
  <c r="D14" i="3"/>
  <c r="D13" i="3"/>
  <c r="D12" i="3"/>
  <c r="D11" i="3"/>
  <c r="D10" i="3"/>
  <c r="D9" i="3"/>
  <c r="D8" i="3"/>
  <c r="D7" i="3"/>
  <c r="D6" i="3"/>
  <c r="D5" i="3"/>
  <c r="BL2" i="3"/>
  <c r="A72" i="14"/>
  <c r="AN2" i="3"/>
  <c r="AK2" i="3"/>
  <c r="AE2" i="3"/>
  <c r="AB2" i="3"/>
  <c r="Y2" i="3"/>
  <c r="M2" i="3"/>
  <c r="J2" i="3"/>
  <c r="AJ115" i="3"/>
  <c r="AD113" i="3"/>
  <c r="AM112"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AP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AP115" i="3"/>
  <c r="AG106" i="3"/>
  <c r="AS107" i="3"/>
  <c r="AD112" i="3"/>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E23" i="32"/>
  <c r="H3" i="32"/>
  <c r="H4" i="32"/>
  <c r="H5" i="32"/>
  <c r="H6" i="32"/>
  <c r="H7" i="32"/>
  <c r="H8" i="32"/>
  <c r="H9" i="32"/>
  <c r="H10" i="32"/>
  <c r="H11" i="32"/>
  <c r="H12" i="32"/>
  <c r="H13" i="32"/>
  <c r="H14" i="32"/>
  <c r="H15" i="32"/>
  <c r="H16" i="32"/>
  <c r="H17" i="32"/>
  <c r="H18" i="32"/>
  <c r="H19" i="32"/>
  <c r="H20" i="32"/>
  <c r="H21" i="32"/>
  <c r="H22" i="32"/>
  <c r="H23" i="32"/>
  <c r="H24" i="28"/>
  <c r="J24" i="28"/>
  <c r="H19" i="28"/>
  <c r="J19" i="28"/>
  <c r="H14" i="28"/>
  <c r="J14" i="28"/>
  <c r="H9" i="28"/>
  <c r="J9" i="28"/>
  <c r="H25" i="28"/>
  <c r="J25" i="28"/>
  <c r="H27" i="28"/>
  <c r="H26" i="28"/>
  <c r="J26" i="28"/>
  <c r="H22" i="28"/>
  <c r="H21" i="28"/>
  <c r="J21" i="28"/>
  <c r="H20" i="28"/>
  <c r="J20" i="28"/>
  <c r="H17" i="28"/>
  <c r="H16" i="28"/>
  <c r="J16" i="28"/>
  <c r="H15" i="28"/>
  <c r="J15" i="28"/>
  <c r="H12" i="28"/>
  <c r="H11" i="28"/>
  <c r="J11" i="28"/>
  <c r="H10" i="28"/>
  <c r="J10" i="28"/>
  <c r="H7" i="28"/>
  <c r="H5" i="28"/>
  <c r="J5" i="28"/>
  <c r="H4" i="28"/>
  <c r="J4" i="28"/>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BE111" i="3"/>
  <c r="E138" i="14"/>
  <c r="E137" i="14"/>
  <c r="E136" i="14"/>
  <c r="E135" i="14"/>
  <c r="E134" i="14"/>
  <c r="E133" i="14"/>
  <c r="E132" i="14"/>
  <c r="E131" i="14"/>
  <c r="E130" i="14"/>
  <c r="E129" i="14"/>
  <c r="E128" i="14"/>
  <c r="D128" i="14"/>
  <c r="E127" i="14"/>
  <c r="D127" i="14"/>
  <c r="E126" i="14"/>
  <c r="D126" i="14"/>
  <c r="E125" i="14"/>
  <c r="D125" i="14"/>
  <c r="E124" i="14"/>
  <c r="D124" i="14"/>
  <c r="E123" i="14"/>
  <c r="D123" i="14"/>
  <c r="E122" i="14"/>
  <c r="D122" i="14"/>
  <c r="E121" i="14"/>
  <c r="D121" i="14"/>
  <c r="E120" i="14"/>
  <c r="D120" i="14"/>
  <c r="E119" i="14"/>
  <c r="D119" i="14"/>
  <c r="E118" i="14"/>
  <c r="E117" i="14"/>
  <c r="D117" i="14"/>
  <c r="E116" i="14"/>
  <c r="E115" i="14"/>
  <c r="D115" i="14"/>
  <c r="E114" i="14"/>
  <c r="E113" i="14"/>
  <c r="D113" i="14"/>
  <c r="E112" i="14"/>
  <c r="D112" i="14"/>
  <c r="E111" i="14"/>
  <c r="D111" i="14"/>
  <c r="E110" i="14"/>
  <c r="E109" i="14"/>
  <c r="D109" i="14"/>
  <c r="E103" i="14"/>
  <c r="E102" i="14"/>
  <c r="E101" i="14"/>
  <c r="E100" i="14"/>
  <c r="E99" i="14"/>
  <c r="E98" i="14"/>
  <c r="E97" i="14"/>
  <c r="E96" i="14"/>
  <c r="E95" i="14"/>
  <c r="E94" i="14"/>
  <c r="E93" i="14"/>
  <c r="D93" i="14"/>
  <c r="E92" i="14"/>
  <c r="D92" i="14"/>
  <c r="E91" i="14"/>
  <c r="D91" i="14"/>
  <c r="E90" i="14"/>
  <c r="D90" i="14"/>
  <c r="E89" i="14"/>
  <c r="D89" i="14"/>
  <c r="E88" i="14"/>
  <c r="D88" i="14"/>
  <c r="E87" i="14"/>
  <c r="D87" i="14"/>
  <c r="E86" i="14"/>
  <c r="D86" i="14"/>
  <c r="E85" i="14"/>
  <c r="D85" i="14"/>
  <c r="E84" i="14"/>
  <c r="D84" i="14"/>
  <c r="E83" i="14"/>
  <c r="E82" i="14"/>
  <c r="E81" i="14"/>
  <c r="D81" i="14"/>
  <c r="E80" i="14"/>
  <c r="D80" i="14"/>
  <c r="E79" i="14"/>
  <c r="D79" i="14"/>
  <c r="E78" i="14"/>
  <c r="D78" i="14"/>
  <c r="E77" i="14"/>
  <c r="D77" i="14"/>
  <c r="E76" i="14"/>
  <c r="E75" i="14"/>
  <c r="D75" i="14"/>
  <c r="E74" i="14"/>
  <c r="E68" i="14"/>
  <c r="E67" i="14"/>
  <c r="E66" i="14"/>
  <c r="E65" i="14"/>
  <c r="E64" i="14"/>
  <c r="E63" i="14"/>
  <c r="E62" i="14"/>
  <c r="E61" i="14"/>
  <c r="E60" i="14"/>
  <c r="E59" i="14"/>
  <c r="E58" i="14"/>
  <c r="D58" i="14"/>
  <c r="E57" i="14"/>
  <c r="D57" i="14"/>
  <c r="E56" i="14"/>
  <c r="D56" i="14"/>
  <c r="E55" i="14"/>
  <c r="D55" i="14"/>
  <c r="E54" i="14"/>
  <c r="D54" i="14"/>
  <c r="E53" i="14"/>
  <c r="D53" i="14"/>
  <c r="E52" i="14"/>
  <c r="D52" i="14"/>
  <c r="E51" i="14"/>
  <c r="D51" i="14"/>
  <c r="E50" i="14"/>
  <c r="D50" i="14"/>
  <c r="E49" i="14"/>
  <c r="D49" i="14"/>
  <c r="E48" i="14"/>
  <c r="D48" i="14"/>
  <c r="E47" i="14"/>
  <c r="E46" i="14"/>
  <c r="D46" i="14"/>
  <c r="E45" i="14"/>
  <c r="E44" i="14"/>
  <c r="E43" i="14"/>
  <c r="E42" i="14"/>
  <c r="E41" i="14"/>
  <c r="E40" i="14"/>
  <c r="E39" i="14"/>
  <c r="D39" i="14"/>
  <c r="E33" i="14"/>
  <c r="E32" i="14"/>
  <c r="E31" i="14"/>
  <c r="E30" i="14"/>
  <c r="E29" i="14"/>
  <c r="E28" i="14"/>
  <c r="E27" i="14"/>
  <c r="E26" i="14"/>
  <c r="E25" i="14"/>
  <c r="E24" i="14"/>
  <c r="E23" i="14"/>
  <c r="D23" i="14"/>
  <c r="E22" i="14"/>
  <c r="D22" i="14"/>
  <c r="E21" i="14"/>
  <c r="D21" i="14"/>
  <c r="E20" i="14"/>
  <c r="D20" i="14"/>
  <c r="E19" i="14"/>
  <c r="D19" i="14"/>
  <c r="E18" i="14"/>
  <c r="D18" i="14"/>
  <c r="E17" i="14"/>
  <c r="D17" i="14"/>
  <c r="E16" i="14"/>
  <c r="D16" i="14"/>
  <c r="E15" i="14"/>
  <c r="D15" i="14"/>
  <c r="E14" i="14"/>
  <c r="D14" i="14"/>
  <c r="E13" i="14"/>
  <c r="E12" i="14"/>
  <c r="E11" i="14"/>
  <c r="E10" i="14"/>
  <c r="E9" i="14"/>
  <c r="D9" i="14"/>
  <c r="E8" i="14"/>
  <c r="E7" i="14"/>
  <c r="D7" i="14"/>
  <c r="E6" i="14"/>
  <c r="E5" i="14"/>
  <c r="E4" i="14"/>
  <c r="M11" i="11"/>
  <c r="M13" i="6"/>
  <c r="N13" i="6"/>
  <c r="E11" i="11"/>
  <c r="E3" i="18"/>
  <c r="E4" i="17"/>
  <c r="M27" i="11"/>
  <c r="L27" i="11"/>
  <c r="K27" i="11"/>
  <c r="C11" i="6" s="1"/>
  <c r="J27" i="11"/>
  <c r="I27" i="11"/>
  <c r="H27" i="11"/>
  <c r="F8" i="4"/>
  <c r="G27" i="11"/>
  <c r="F27" i="11"/>
  <c r="E27" i="11"/>
  <c r="C5" i="6"/>
  <c r="D27" i="11"/>
  <c r="C4" i="6"/>
  <c r="M25" i="11"/>
  <c r="I13" i="4"/>
  <c r="L25" i="11"/>
  <c r="I12" i="4"/>
  <c r="I14" i="4" s="1"/>
  <c r="K25" i="11"/>
  <c r="I11" i="4"/>
  <c r="J25" i="11"/>
  <c r="I10" i="6"/>
  <c r="I25" i="11"/>
  <c r="I9" i="4"/>
  <c r="H25" i="11"/>
  <c r="I8" i="4"/>
  <c r="G25" i="11"/>
  <c r="I7" i="4"/>
  <c r="F25" i="11"/>
  <c r="I6" i="6"/>
  <c r="E25" i="11"/>
  <c r="M23" i="11"/>
  <c r="F13" i="6"/>
  <c r="L23" i="11"/>
  <c r="G12" i="4"/>
  <c r="K23" i="11"/>
  <c r="G11" i="4"/>
  <c r="J23" i="11"/>
  <c r="I23" i="11"/>
  <c r="F9" i="6"/>
  <c r="H23" i="11"/>
  <c r="G8" i="4"/>
  <c r="G23" i="11"/>
  <c r="G7" i="4"/>
  <c r="F23" i="11"/>
  <c r="F6" i="6" s="1"/>
  <c r="E23" i="11"/>
  <c r="F5" i="6" s="1"/>
  <c r="D23" i="11"/>
  <c r="F4" i="6" s="1"/>
  <c r="K11" i="11"/>
  <c r="M11" i="6"/>
  <c r="N11" i="6"/>
  <c r="BN108" i="3"/>
  <c r="D110" i="14"/>
  <c r="BQ54" i="3"/>
  <c r="BN54" i="3"/>
  <c r="BK54" i="3"/>
  <c r="I54" i="3"/>
  <c r="BQ53" i="3"/>
  <c r="BN53" i="3"/>
  <c r="BK53" i="3"/>
  <c r="I53" i="3"/>
  <c r="BQ52" i="3"/>
  <c r="BN52" i="3"/>
  <c r="BK52" i="3"/>
  <c r="I52" i="3"/>
  <c r="BQ51" i="3"/>
  <c r="BN51" i="3"/>
  <c r="BK51" i="3"/>
  <c r="I51" i="3"/>
  <c r="BQ50" i="3"/>
  <c r="BN50" i="3"/>
  <c r="BK50" i="3"/>
  <c r="I50" i="3"/>
  <c r="BQ49" i="3"/>
  <c r="BN49" i="3"/>
  <c r="BK49" i="3"/>
  <c r="I49" i="3"/>
  <c r="BQ48" i="3"/>
  <c r="BN48" i="3"/>
  <c r="BK48" i="3"/>
  <c r="I48" i="3"/>
  <c r="BQ47" i="3"/>
  <c r="BN47" i="3"/>
  <c r="BK47" i="3"/>
  <c r="I47" i="3"/>
  <c r="BQ46" i="3"/>
  <c r="BN46" i="3"/>
  <c r="BK46" i="3"/>
  <c r="I46" i="3"/>
  <c r="BQ45" i="3"/>
  <c r="BN45" i="3"/>
  <c r="BK45" i="3"/>
  <c r="I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Q113" i="3"/>
  <c r="BN22" i="3"/>
  <c r="BK22" i="3"/>
  <c r="BQ21" i="3"/>
  <c r="BQ20" i="3"/>
  <c r="BN20" i="3"/>
  <c r="I20" i="3"/>
  <c r="BN19" i="3"/>
  <c r="BK19" i="3"/>
  <c r="BN18" i="3"/>
  <c r="BK18" i="3"/>
  <c r="BQ5" i="3"/>
  <c r="BN5" i="3"/>
  <c r="BK5" i="3"/>
  <c r="I5" i="3"/>
  <c r="F5" i="3" s="1"/>
  <c r="O14" i="6"/>
  <c r="L14" i="6"/>
  <c r="M14" i="4"/>
  <c r="K14" i="4"/>
  <c r="J14" i="4"/>
  <c r="L13" i="4"/>
  <c r="L12" i="4"/>
  <c r="L11" i="4"/>
  <c r="L10" i="4"/>
  <c r="L9" i="4"/>
  <c r="L8" i="4"/>
  <c r="L7" i="4"/>
  <c r="L6" i="4"/>
  <c r="L5" i="4"/>
  <c r="L4" i="4"/>
  <c r="J11" i="11"/>
  <c r="BK15" i="3"/>
  <c r="BK16" i="3"/>
  <c r="BN17" i="3"/>
  <c r="BN21" i="3"/>
  <c r="I19" i="3"/>
  <c r="I23" i="3"/>
  <c r="I18" i="3"/>
  <c r="I22" i="3"/>
  <c r="I15" i="3"/>
  <c r="I17" i="3"/>
  <c r="I21" i="3"/>
  <c r="BK17" i="3"/>
  <c r="BQ17" i="3"/>
  <c r="BQ111" i="3"/>
  <c r="BQ18" i="3"/>
  <c r="BQ19" i="3"/>
  <c r="BK20" i="3"/>
  <c r="BK21" i="3"/>
  <c r="BQ22" i="3"/>
  <c r="BK23" i="3"/>
  <c r="BK24" i="3"/>
  <c r="BQ24" i="3"/>
  <c r="D10" i="14"/>
  <c r="BQ15" i="3"/>
  <c r="BQ16" i="3"/>
  <c r="I16" i="3"/>
  <c r="BN15" i="3"/>
  <c r="BN16" i="3"/>
  <c r="D25" i="11"/>
  <c r="I4" i="6"/>
  <c r="E25" i="17"/>
  <c r="AF14" i="20"/>
  <c r="BN114" i="3"/>
  <c r="G2" i="3"/>
  <c r="A2" i="14"/>
  <c r="E22" i="32"/>
  <c r="T19" i="37"/>
  <c r="T6" i="37"/>
  <c r="T27" i="37"/>
  <c r="T14" i="37"/>
  <c r="T13" i="37"/>
  <c r="E8" i="28"/>
  <c r="E13" i="28"/>
  <c r="E88" i="28"/>
  <c r="E38" i="28"/>
  <c r="E103" i="28"/>
  <c r="G103" i="28"/>
  <c r="H103" i="28"/>
  <c r="J103" i="28"/>
  <c r="E48" i="28"/>
  <c r="I94" i="3"/>
  <c r="L106" i="3"/>
  <c r="AG94" i="3"/>
  <c r="X88" i="3"/>
  <c r="R107" i="3"/>
  <c r="O122" i="3"/>
  <c r="B12" i="35"/>
  <c r="B17" i="35"/>
  <c r="B21" i="35"/>
  <c r="B25" i="35"/>
  <c r="B9" i="35"/>
  <c r="AA106" i="3"/>
  <c r="B11" i="35"/>
  <c r="B10" i="35"/>
  <c r="B23" i="35"/>
  <c r="B19" i="35"/>
  <c r="B15" i="35"/>
  <c r="B26" i="35"/>
  <c r="B22" i="35"/>
  <c r="B18" i="35"/>
  <c r="B14" i="35"/>
  <c r="B13" i="35"/>
  <c r="B20" i="35"/>
  <c r="T4" i="37"/>
  <c r="J22" i="28"/>
  <c r="I22" i="28"/>
  <c r="E43" i="28"/>
  <c r="E83" i="28"/>
  <c r="T5" i="37"/>
  <c r="E18" i="28"/>
  <c r="E58" i="28"/>
  <c r="G58" i="28"/>
  <c r="H58" i="28"/>
  <c r="J58" i="28"/>
  <c r="E98" i="28"/>
  <c r="T8" i="37"/>
  <c r="T9" i="37"/>
  <c r="T7" i="37"/>
  <c r="T21" i="37"/>
  <c r="T16" i="37"/>
  <c r="J107" i="28"/>
  <c r="I107" i="28"/>
  <c r="G18" i="28"/>
  <c r="H18" i="28"/>
  <c r="J18" i="28"/>
  <c r="BH86" i="3"/>
  <c r="I93" i="3"/>
  <c r="AJ118" i="3"/>
  <c r="AY119" i="3"/>
  <c r="BB124" i="3"/>
  <c r="I114" i="3"/>
  <c r="L112" i="3"/>
  <c r="B1" i="34"/>
  <c r="B2" i="34"/>
  <c r="G43" i="28"/>
  <c r="H43" i="28"/>
  <c r="J43" i="28"/>
  <c r="V2" i="3"/>
  <c r="AP86" i="3"/>
  <c r="AD88" i="3"/>
  <c r="BQ90" i="3"/>
  <c r="AY93" i="3"/>
  <c r="AM95" i="3"/>
  <c r="BQ106" i="3"/>
  <c r="BH106" i="3"/>
  <c r="AY107" i="3"/>
  <c r="AP107" i="3"/>
  <c r="BB109" i="3"/>
  <c r="BQ110" i="3"/>
  <c r="AJ110" i="3"/>
  <c r="BN111" i="3"/>
  <c r="AP111" i="3"/>
  <c r="BE112" i="3"/>
  <c r="AV112" i="3"/>
  <c r="BK113" i="3"/>
  <c r="BB113" i="3"/>
  <c r="AJ114" i="3"/>
  <c r="AY115" i="3"/>
  <c r="BB116" i="3"/>
  <c r="BB118" i="3"/>
  <c r="AP118" i="3"/>
  <c r="BE119" i="3"/>
  <c r="BN120" i="3"/>
  <c r="BE123" i="3"/>
  <c r="AJ124" i="3"/>
  <c r="I108" i="3"/>
  <c r="F4" i="20"/>
  <c r="O113" i="3"/>
  <c r="U111" i="3"/>
  <c r="X113" i="3"/>
  <c r="AA111" i="3"/>
  <c r="AA107" i="3"/>
  <c r="I123" i="3"/>
  <c r="M80" i="3"/>
  <c r="V82" i="3"/>
  <c r="Y83" i="3"/>
  <c r="F23" i="28"/>
  <c r="J27" i="28"/>
  <c r="I27" i="28"/>
  <c r="J82" i="28"/>
  <c r="I82" i="28"/>
  <c r="I7" i="28"/>
  <c r="F11" i="10"/>
  <c r="F17" i="10"/>
  <c r="F16" i="10"/>
  <c r="F19" i="10"/>
  <c r="F22" i="10"/>
  <c r="F18" i="10"/>
  <c r="F20" i="10"/>
  <c r="F23" i="10"/>
  <c r="F21" i="10"/>
  <c r="F24" i="10"/>
  <c r="Z14" i="9"/>
  <c r="BQ108" i="3"/>
  <c r="AY109" i="3"/>
  <c r="AG110" i="3"/>
  <c r="BK111" i="3"/>
  <c r="AS112" i="3"/>
  <c r="BE114" i="3"/>
  <c r="AM115" i="3"/>
  <c r="K40" i="11"/>
  <c r="AA86" i="3"/>
  <c r="BQ87" i="3"/>
  <c r="X87" i="3"/>
  <c r="L87" i="3"/>
  <c r="AM88" i="3"/>
  <c r="BQ89" i="3"/>
  <c r="AA89" i="3"/>
  <c r="O89" i="3"/>
  <c r="AJ91" i="3"/>
  <c r="AD92" i="3"/>
  <c r="R92" i="3"/>
  <c r="BH93" i="3"/>
  <c r="AV93" i="3"/>
  <c r="AJ93" i="3"/>
  <c r="AD94" i="3"/>
  <c r="U94" i="3"/>
  <c r="AV95" i="3"/>
  <c r="BH107" i="3"/>
  <c r="AP108" i="3"/>
  <c r="BK110" i="3"/>
  <c r="BB110" i="3"/>
  <c r="AS111" i="3"/>
  <c r="AJ111" i="3"/>
  <c r="BN112" i="3"/>
  <c r="BH115" i="3"/>
  <c r="BK118" i="3"/>
  <c r="BN121" i="3"/>
  <c r="AJ121" i="3"/>
  <c r="AM122" i="3"/>
  <c r="BN123" i="3"/>
  <c r="BK125" i="3"/>
  <c r="AP125" i="3"/>
  <c r="D129" i="3"/>
  <c r="P7" i="4"/>
  <c r="I115" i="3"/>
  <c r="D107" i="3"/>
  <c r="R5" i="6" s="1"/>
  <c r="L109" i="3"/>
  <c r="L107" i="3"/>
  <c r="L108" i="3"/>
  <c r="L110" i="3"/>
  <c r="L111" i="3"/>
  <c r="L113" i="3"/>
  <c r="L115" i="3"/>
  <c r="H4" i="20"/>
  <c r="R111" i="3"/>
  <c r="U113" i="3"/>
  <c r="U110" i="3"/>
  <c r="I122" i="3"/>
  <c r="I118" i="3"/>
  <c r="O119" i="3"/>
  <c r="AA121" i="3"/>
  <c r="S83" i="3"/>
  <c r="V78" i="3"/>
  <c r="G3" i="39"/>
  <c r="M64" i="29"/>
  <c r="K15" i="9"/>
  <c r="O12" i="10"/>
  <c r="G16" i="10"/>
  <c r="G8" i="10"/>
  <c r="BO2" i="3"/>
  <c r="A107" i="14"/>
  <c r="BE106" i="3"/>
  <c r="AM107" i="3"/>
  <c r="G23" i="28"/>
  <c r="H23" i="28"/>
  <c r="J23" i="28"/>
  <c r="J87" i="28"/>
  <c r="I87" i="28"/>
  <c r="G3" i="28"/>
  <c r="H3" i="28"/>
  <c r="J3" i="28"/>
  <c r="J92" i="28"/>
  <c r="I92" i="28"/>
  <c r="G48" i="28"/>
  <c r="H48" i="28"/>
  <c r="J48" i="28"/>
  <c r="G8" i="28"/>
  <c r="H8" i="28"/>
  <c r="J8" i="28"/>
  <c r="U87" i="3"/>
  <c r="X89" i="3"/>
  <c r="O92" i="3"/>
  <c r="AM94" i="3"/>
  <c r="AS95" i="3"/>
  <c r="BH118" i="3"/>
  <c r="R114" i="3"/>
  <c r="U109" i="3"/>
  <c r="AD108" i="3"/>
  <c r="AD110" i="3"/>
  <c r="E122" i="3"/>
  <c r="D10" i="4" s="1"/>
  <c r="W10" i="4" s="1"/>
  <c r="AA120" i="3"/>
  <c r="AD120" i="3"/>
  <c r="F33" i="28"/>
  <c r="J37" i="28"/>
  <c r="I37" i="28"/>
  <c r="K12" i="9"/>
  <c r="O11" i="10"/>
  <c r="O14" i="9"/>
  <c r="O7" i="10"/>
  <c r="G14" i="10"/>
  <c r="G5" i="10"/>
  <c r="O12" i="9"/>
  <c r="U122" i="3"/>
  <c r="G38" i="28"/>
  <c r="H38" i="28"/>
  <c r="J38" i="28"/>
  <c r="D11" i="14"/>
  <c r="BH90" i="3"/>
  <c r="AP91" i="3"/>
  <c r="BN95" i="3"/>
  <c r="BN106" i="3"/>
  <c r="AV107" i="3"/>
  <c r="AM108" i="3"/>
  <c r="AP110" i="3"/>
  <c r="AG111" i="3"/>
  <c r="BK112" i="3"/>
  <c r="BB112" i="3"/>
  <c r="AJ113" i="3"/>
  <c r="AV115" i="3"/>
  <c r="BE116" i="3"/>
  <c r="BE118" i="3"/>
  <c r="BH119" i="3"/>
  <c r="AV119" i="3"/>
  <c r="BH121" i="3"/>
  <c r="AY121" i="3"/>
  <c r="BQ122" i="3"/>
  <c r="BE122" i="3"/>
  <c r="BH123" i="3"/>
  <c r="O107" i="3"/>
  <c r="U108" i="3"/>
  <c r="AD115" i="3"/>
  <c r="U125" i="3"/>
  <c r="X120" i="3"/>
  <c r="AA119" i="3"/>
  <c r="G11" i="11"/>
  <c r="M7" i="6"/>
  <c r="N7" i="6"/>
  <c r="O10" i="9"/>
  <c r="W14" i="10"/>
  <c r="BH94" i="3"/>
  <c r="BK121" i="3"/>
  <c r="AM123" i="3"/>
  <c r="AP124" i="3"/>
  <c r="X107" i="3"/>
  <c r="AA116" i="3"/>
  <c r="G83" i="28"/>
  <c r="H83" i="28"/>
  <c r="J83" i="28"/>
  <c r="F93" i="28"/>
  <c r="J97" i="28"/>
  <c r="I97" i="28"/>
  <c r="D4" i="14"/>
  <c r="BE86" i="3"/>
  <c r="AG86" i="3"/>
  <c r="BK87" i="3"/>
  <c r="AY87" i="3"/>
  <c r="R93" i="3"/>
  <c r="BE94" i="3"/>
  <c r="R95" i="3"/>
  <c r="AD114" i="3"/>
  <c r="AD106" i="3"/>
  <c r="AD124" i="3"/>
  <c r="J47" i="28"/>
  <c r="I47" i="28"/>
  <c r="J77" i="28"/>
  <c r="I77" i="28"/>
  <c r="C40" i="37"/>
  <c r="F14" i="10"/>
  <c r="O8" i="9"/>
  <c r="W11" i="10"/>
  <c r="H9" i="9"/>
  <c r="G19" i="10"/>
  <c r="G11" i="10"/>
  <c r="H20" i="10"/>
  <c r="H40" i="11"/>
  <c r="M8" i="6"/>
  <c r="N8" i="6"/>
  <c r="D127" i="3"/>
  <c r="P5" i="4"/>
  <c r="E53" i="28"/>
  <c r="G53" i="28"/>
  <c r="H53" i="28"/>
  <c r="J53" i="28"/>
  <c r="BN86" i="3"/>
  <c r="O87" i="3"/>
  <c r="AJ88" i="3"/>
  <c r="O93" i="3"/>
  <c r="BH114" i="3"/>
  <c r="AM124" i="3"/>
  <c r="O111" i="3"/>
  <c r="X112" i="3"/>
  <c r="E40" i="11"/>
  <c r="M5" i="6"/>
  <c r="N5" i="6"/>
  <c r="S6" i="9"/>
  <c r="S7" i="9"/>
  <c r="AT2" i="3"/>
  <c r="S8" i="9"/>
  <c r="D131" i="3"/>
  <c r="P9" i="4"/>
  <c r="J57" i="28"/>
  <c r="I57" i="28"/>
  <c r="M40" i="11"/>
  <c r="BE88" i="3"/>
  <c r="BE92" i="3"/>
  <c r="AG93" i="3"/>
  <c r="AY95" i="3"/>
  <c r="AS106" i="3"/>
  <c r="AG121" i="3"/>
  <c r="AG125" i="3"/>
  <c r="J42" i="28"/>
  <c r="I42" i="28"/>
  <c r="E119" i="3"/>
  <c r="D7" i="4" s="1"/>
  <c r="W7" i="4" s="1"/>
  <c r="D110" i="3"/>
  <c r="BB119" i="3"/>
  <c r="BK123" i="3"/>
  <c r="O116" i="3"/>
  <c r="Q13" i="9"/>
  <c r="Q6" i="9"/>
  <c r="Q8" i="9"/>
  <c r="V6" i="10"/>
  <c r="I40" i="11"/>
  <c r="M9" i="6"/>
  <c r="N9" i="6"/>
  <c r="P17" i="20"/>
  <c r="P16" i="20" s="1"/>
  <c r="E171" i="9"/>
  <c r="C20" i="39"/>
  <c r="AJ86" i="3"/>
  <c r="AG87" i="3"/>
  <c r="AY108" i="3"/>
  <c r="AP109" i="3"/>
  <c r="AG109" i="3"/>
  <c r="BB111" i="3"/>
  <c r="G4" i="20"/>
  <c r="O109" i="3"/>
  <c r="D112" i="3"/>
  <c r="U120" i="3"/>
  <c r="B1" i="33"/>
  <c r="B2" i="33"/>
  <c r="D47" i="14"/>
  <c r="AZ17" i="20"/>
  <c r="AZ16" i="20" s="1"/>
  <c r="D11" i="11"/>
  <c r="J102" i="28"/>
  <c r="I102" i="28"/>
  <c r="F61" i="3"/>
  <c r="E78" i="28"/>
  <c r="G78" i="28"/>
  <c r="H78" i="28"/>
  <c r="J78" i="28"/>
  <c r="D116" i="14"/>
  <c r="AY92" i="3"/>
  <c r="AS94" i="3"/>
  <c r="AY120" i="3"/>
  <c r="D122" i="3"/>
  <c r="C10" i="4" s="1"/>
  <c r="BQ125" i="3"/>
  <c r="I125" i="3"/>
  <c r="I117" i="3"/>
  <c r="R125" i="3"/>
  <c r="Q11" i="9"/>
  <c r="Y5" i="10"/>
  <c r="Y11" i="10"/>
  <c r="I5" i="10"/>
  <c r="I9" i="10"/>
  <c r="M7" i="9"/>
  <c r="M11" i="9"/>
  <c r="M12" i="9"/>
  <c r="M13" i="9"/>
  <c r="M14" i="9"/>
  <c r="Y14" i="10"/>
  <c r="D14" i="20"/>
  <c r="I116" i="3"/>
  <c r="I119" i="3"/>
  <c r="I120" i="3"/>
  <c r="I121" i="3"/>
  <c r="I124" i="3"/>
  <c r="X13" i="10"/>
  <c r="X5" i="10"/>
  <c r="J12" i="28"/>
  <c r="S9" i="9"/>
  <c r="Y13" i="10"/>
  <c r="AV92" i="3"/>
  <c r="BQ120" i="3"/>
  <c r="AD123" i="3"/>
  <c r="G13" i="28"/>
  <c r="H13" i="28"/>
  <c r="J13" i="28"/>
  <c r="F57" i="3"/>
  <c r="D71" i="3"/>
  <c r="BB86" i="3"/>
  <c r="AD86" i="3"/>
  <c r="AA87" i="3"/>
  <c r="BQ91" i="3"/>
  <c r="AA91" i="3"/>
  <c r="E116" i="3"/>
  <c r="D4" i="4" s="1"/>
  <c r="W4" i="4" s="1"/>
  <c r="AA123" i="3"/>
  <c r="AD122" i="3"/>
  <c r="U9" i="9"/>
  <c r="Z5" i="10"/>
  <c r="D86" i="3"/>
  <c r="D41" i="14"/>
  <c r="D43" i="14"/>
  <c r="AG108" i="3"/>
  <c r="BK109" i="3"/>
  <c r="AS110" i="3"/>
  <c r="AM113" i="3"/>
  <c r="G13" i="9"/>
  <c r="D108" i="3"/>
  <c r="R6" i="6" s="1"/>
  <c r="B24" i="35"/>
  <c r="B16" i="35"/>
  <c r="U5" i="10"/>
  <c r="U12" i="10"/>
  <c r="U13" i="10"/>
  <c r="U14" i="10"/>
  <c r="G98" i="28"/>
  <c r="H98" i="28"/>
  <c r="J98" i="28"/>
  <c r="AV86" i="3"/>
  <c r="AP88" i="3"/>
  <c r="AP93" i="3"/>
  <c r="BH95" i="3"/>
  <c r="O95" i="3"/>
  <c r="AY117" i="3"/>
  <c r="AV118" i="3"/>
  <c r="AY123" i="3"/>
  <c r="E115" i="3"/>
  <c r="S13" i="6" s="1"/>
  <c r="X114" i="3"/>
  <c r="L124" i="3"/>
  <c r="J72" i="28"/>
  <c r="I72" i="28"/>
  <c r="F13" i="10"/>
  <c r="I8" i="10"/>
  <c r="F7" i="3"/>
  <c r="I6" i="10"/>
  <c r="G8" i="9"/>
  <c r="G9" i="9"/>
  <c r="G14" i="9"/>
  <c r="G15" i="9"/>
  <c r="D69" i="3"/>
  <c r="X86" i="3"/>
  <c r="BN87" i="3"/>
  <c r="U89" i="3"/>
  <c r="AP90" i="3"/>
  <c r="AM91" i="3"/>
  <c r="BK92" i="3"/>
  <c r="AM92" i="3"/>
  <c r="BE95" i="3"/>
  <c r="AJ95" i="3"/>
  <c r="BN118" i="3"/>
  <c r="BE121" i="3"/>
  <c r="AG122" i="3"/>
  <c r="BK124" i="3"/>
  <c r="I107" i="3"/>
  <c r="E112" i="3"/>
  <c r="BQ116" i="3"/>
  <c r="BK120" i="3"/>
  <c r="AG123" i="3"/>
  <c r="I112" i="3"/>
  <c r="AA118" i="3"/>
  <c r="J52" i="28"/>
  <c r="I52" i="28"/>
  <c r="O10" i="10"/>
  <c r="AH2" i="3"/>
  <c r="F13" i="3"/>
  <c r="F59" i="3"/>
  <c r="AW78" i="3"/>
  <c r="AH82" i="3"/>
  <c r="AS86" i="3"/>
  <c r="AS87" i="3"/>
  <c r="BN88" i="3"/>
  <c r="AY90" i="3"/>
  <c r="AD90" i="3"/>
  <c r="BQ93" i="3"/>
  <c r="AD93" i="3"/>
  <c r="BQ94" i="3"/>
  <c r="BK108" i="3"/>
  <c r="BB108" i="3"/>
  <c r="AS109" i="3"/>
  <c r="BN110" i="3"/>
  <c r="BH113" i="3"/>
  <c r="AG115" i="3"/>
  <c r="AP117" i="3"/>
  <c r="AS118" i="3"/>
  <c r="BK119" i="3"/>
  <c r="AP119" i="3"/>
  <c r="AJ122" i="3"/>
  <c r="BB123" i="3"/>
  <c r="O110" i="3"/>
  <c r="U115" i="3"/>
  <c r="X111" i="3"/>
  <c r="AA114" i="3"/>
  <c r="AA124" i="3"/>
  <c r="M82" i="3"/>
  <c r="P84" i="3"/>
  <c r="S79" i="3"/>
  <c r="V80" i="3"/>
  <c r="Y81" i="3"/>
  <c r="K14" i="9"/>
  <c r="G88" i="28"/>
  <c r="H88" i="28"/>
  <c r="J88" i="28"/>
  <c r="D13" i="14"/>
  <c r="AK78" i="3"/>
  <c r="AZ83" i="3"/>
  <c r="BK86" i="3"/>
  <c r="AA90" i="3"/>
  <c r="X92" i="3"/>
  <c r="X93" i="3"/>
  <c r="X95" i="3"/>
  <c r="AS108" i="3"/>
  <c r="BE110" i="3"/>
  <c r="AM111" i="3"/>
  <c r="BQ112" i="3"/>
  <c r="AG114" i="3"/>
  <c r="BK115" i="3"/>
  <c r="AP116" i="3"/>
  <c r="AM120" i="3"/>
  <c r="BB122" i="3"/>
  <c r="AV123" i="3"/>
  <c r="AV124" i="3"/>
  <c r="U114" i="3"/>
  <c r="X109" i="3"/>
  <c r="R121" i="3"/>
  <c r="AD121" i="3"/>
  <c r="J83" i="3"/>
  <c r="M79" i="3"/>
  <c r="P79" i="3"/>
  <c r="I5" i="32"/>
  <c r="H62" i="9"/>
  <c r="AV113" i="3"/>
  <c r="E113" i="3"/>
  <c r="S11" i="6" s="1"/>
  <c r="D109" i="3"/>
  <c r="AG112" i="3"/>
  <c r="AH79" i="3"/>
  <c r="AZ84" i="3"/>
  <c r="D42" i="14"/>
  <c r="AS90" i="3"/>
  <c r="X90" i="3"/>
  <c r="U91" i="3"/>
  <c r="D93" i="3"/>
  <c r="U95" i="3"/>
  <c r="BE107" i="3"/>
  <c r="AV108" i="3"/>
  <c r="BQ109" i="3"/>
  <c r="BH110" i="3"/>
  <c r="AY110" i="3"/>
  <c r="BN115" i="3"/>
  <c r="BE115" i="3"/>
  <c r="AJ117" i="3"/>
  <c r="AJ120" i="3"/>
  <c r="AY122" i="3"/>
  <c r="AS124" i="3"/>
  <c r="AS125" i="3"/>
  <c r="E109" i="3"/>
  <c r="AA112" i="3"/>
  <c r="AD119" i="3"/>
  <c r="J76" i="3"/>
  <c r="O11" i="9"/>
  <c r="W13" i="10"/>
  <c r="D6" i="14"/>
  <c r="D83" i="14"/>
  <c r="F63" i="3"/>
  <c r="D73" i="3"/>
  <c r="BF77" i="3"/>
  <c r="AT81" i="3"/>
  <c r="AE85" i="3"/>
  <c r="AD87" i="3"/>
  <c r="AY88" i="3"/>
  <c r="AG91" i="3"/>
  <c r="L94" i="3"/>
  <c r="AV109" i="3"/>
  <c r="AG113" i="3"/>
  <c r="BK114" i="3"/>
  <c r="AY116" i="3"/>
  <c r="AV117" i="3"/>
  <c r="BQ119" i="3"/>
  <c r="BE125" i="3"/>
  <c r="AJ125" i="3"/>
  <c r="O112" i="3"/>
  <c r="R115" i="3"/>
  <c r="D124" i="3"/>
  <c r="C12" i="4" s="1"/>
  <c r="D119" i="3"/>
  <c r="C7" i="4" s="1"/>
  <c r="AD118" i="3"/>
  <c r="AB85" i="3"/>
  <c r="R123" i="3"/>
  <c r="M55" i="29"/>
  <c r="M59" i="29"/>
  <c r="M63" i="29"/>
  <c r="M54" i="29"/>
  <c r="M57" i="29"/>
  <c r="M61" i="29"/>
  <c r="M44" i="29"/>
  <c r="M48" i="29"/>
  <c r="M52" i="29"/>
  <c r="M56" i="29"/>
  <c r="M60" i="29"/>
  <c r="I54" i="37"/>
  <c r="I57" i="37"/>
  <c r="I56" i="37"/>
  <c r="I55" i="37"/>
  <c r="I61" i="37"/>
  <c r="I60" i="37"/>
  <c r="I52" i="37"/>
  <c r="I59" i="37"/>
  <c r="M62" i="29"/>
  <c r="M46" i="29"/>
  <c r="M43" i="29"/>
  <c r="M42" i="29"/>
  <c r="M58" i="29"/>
  <c r="D5" i="32"/>
  <c r="D4" i="32"/>
  <c r="D3" i="32"/>
  <c r="AR4" i="20"/>
  <c r="D90" i="3"/>
  <c r="AS123" i="3"/>
  <c r="L89" i="3"/>
  <c r="AS116" i="3"/>
  <c r="BK117" i="3"/>
  <c r="J6" i="9"/>
  <c r="J7" i="9"/>
  <c r="J8" i="9"/>
  <c r="J9" i="9"/>
  <c r="J15" i="9"/>
  <c r="J14" i="9"/>
  <c r="J13" i="9"/>
  <c r="J12" i="9"/>
  <c r="J11" i="9"/>
  <c r="J10" i="9"/>
  <c r="J97" i="9"/>
  <c r="J88" i="9"/>
  <c r="J94" i="9"/>
  <c r="J85" i="9"/>
  <c r="J91" i="9"/>
  <c r="J82" i="9"/>
  <c r="J80" i="9"/>
  <c r="J37" i="9"/>
  <c r="J39" i="9"/>
  <c r="J40" i="9"/>
  <c r="J46" i="9"/>
  <c r="J45" i="9"/>
  <c r="J44" i="9"/>
  <c r="J43" i="9"/>
  <c r="J42" i="9"/>
  <c r="J41" i="9"/>
  <c r="J81" i="9"/>
  <c r="J96" i="9"/>
  <c r="J90" i="9"/>
  <c r="J95" i="9"/>
  <c r="J89" i="9"/>
  <c r="J84" i="9"/>
  <c r="J79" i="9"/>
  <c r="J83" i="9"/>
  <c r="J86" i="9"/>
  <c r="J87" i="9"/>
  <c r="J93" i="9"/>
  <c r="J120" i="9"/>
  <c r="J92" i="9"/>
  <c r="J98" i="9"/>
  <c r="J121" i="9"/>
  <c r="J100" i="9"/>
  <c r="J66" i="9"/>
  <c r="J63" i="9"/>
  <c r="J64" i="9"/>
  <c r="J65" i="9"/>
  <c r="J61" i="9"/>
  <c r="J101" i="9"/>
  <c r="J60" i="9"/>
  <c r="J57" i="9"/>
  <c r="J59" i="9"/>
  <c r="J62" i="9"/>
  <c r="R7" i="6"/>
  <c r="H7" i="4"/>
  <c r="O121" i="3"/>
  <c r="E121" i="3"/>
  <c r="D9" i="4" s="1"/>
  <c r="W9" i="4" s="1"/>
  <c r="Y6" i="9"/>
  <c r="Y7" i="9"/>
  <c r="Y8" i="9"/>
  <c r="Y9" i="9"/>
  <c r="Y15" i="9"/>
  <c r="Y14" i="9"/>
  <c r="Y13" i="9"/>
  <c r="Y12" i="9"/>
  <c r="Y11" i="9"/>
  <c r="Y10" i="9"/>
  <c r="Y97" i="9"/>
  <c r="Y88" i="9"/>
  <c r="Y94" i="9"/>
  <c r="Y85" i="9"/>
  <c r="Y91" i="9"/>
  <c r="Y82" i="9"/>
  <c r="Y79" i="9"/>
  <c r="Y37" i="9"/>
  <c r="Y38" i="9"/>
  <c r="Y40" i="9"/>
  <c r="Y46" i="9"/>
  <c r="Y45" i="9"/>
  <c r="Y44" i="9"/>
  <c r="Y43" i="9"/>
  <c r="Y42" i="9"/>
  <c r="Y41" i="9"/>
  <c r="Y58" i="9"/>
  <c r="Y62" i="9"/>
  <c r="Y66" i="9"/>
  <c r="Y83" i="9"/>
  <c r="Y87" i="9"/>
  <c r="Y93" i="9"/>
  <c r="Y86" i="9"/>
  <c r="Y92" i="9"/>
  <c r="Y63" i="9"/>
  <c r="Y98" i="9"/>
  <c r="Y96" i="9"/>
  <c r="Y81" i="9"/>
  <c r="Y90" i="9"/>
  <c r="Y95" i="9"/>
  <c r="Y64" i="9"/>
  <c r="Y65" i="9"/>
  <c r="Y89" i="9"/>
  <c r="Y84" i="9"/>
  <c r="Y60" i="9"/>
  <c r="Y61" i="9"/>
  <c r="Y80" i="9"/>
  <c r="Y57" i="9"/>
  <c r="I6" i="9"/>
  <c r="I7" i="9"/>
  <c r="I8" i="9"/>
  <c r="I9" i="9"/>
  <c r="I15" i="9"/>
  <c r="I14" i="9"/>
  <c r="I13" i="9"/>
  <c r="I12" i="9"/>
  <c r="I11" i="9"/>
  <c r="I10" i="9"/>
  <c r="I97" i="9"/>
  <c r="I88" i="9"/>
  <c r="I94" i="9"/>
  <c r="I85" i="9"/>
  <c r="I91" i="9"/>
  <c r="I82" i="9"/>
  <c r="I79" i="9"/>
  <c r="I38" i="9"/>
  <c r="I39" i="9"/>
  <c r="I40" i="9"/>
  <c r="I46" i="9"/>
  <c r="I45" i="9"/>
  <c r="I44" i="9"/>
  <c r="I43" i="9"/>
  <c r="I42" i="9"/>
  <c r="I41" i="9"/>
  <c r="I120" i="9"/>
  <c r="I121" i="9"/>
  <c r="I58" i="9"/>
  <c r="I62" i="9"/>
  <c r="I66" i="9"/>
  <c r="I90" i="9"/>
  <c r="I95" i="9"/>
  <c r="I81" i="9"/>
  <c r="I89" i="9"/>
  <c r="I59" i="9"/>
  <c r="I63" i="9"/>
  <c r="I80" i="9"/>
  <c r="I84" i="9"/>
  <c r="I83" i="9"/>
  <c r="I86" i="9"/>
  <c r="I87" i="9"/>
  <c r="I93" i="9"/>
  <c r="I92" i="9"/>
  <c r="I98" i="9"/>
  <c r="I101" i="9"/>
  <c r="I64" i="9"/>
  <c r="I65" i="9"/>
  <c r="I96" i="9"/>
  <c r="I61" i="9"/>
  <c r="I60" i="9"/>
  <c r="I100" i="9"/>
  <c r="AH17" i="20"/>
  <c r="AH16" i="20" s="1"/>
  <c r="D117" i="3"/>
  <c r="C5" i="4" s="1"/>
  <c r="F17" i="20"/>
  <c r="F16" i="20" s="1"/>
  <c r="R86" i="3"/>
  <c r="D89" i="3"/>
  <c r="AM93" i="3"/>
  <c r="AS121" i="3"/>
  <c r="D111" i="3"/>
  <c r="I4" i="20"/>
  <c r="AK4" i="20"/>
  <c r="F40" i="11"/>
  <c r="M6" i="6"/>
  <c r="N6" i="6"/>
  <c r="D88" i="3"/>
  <c r="O17" i="20"/>
  <c r="O16" i="20" s="1"/>
  <c r="P2" i="3"/>
  <c r="F12" i="3"/>
  <c r="D74" i="3"/>
  <c r="E89" i="3"/>
  <c r="I89" i="3"/>
  <c r="D114" i="3"/>
  <c r="E73" i="28"/>
  <c r="G73" i="28"/>
  <c r="H73" i="28"/>
  <c r="J73" i="28"/>
  <c r="X6" i="9"/>
  <c r="X7" i="9"/>
  <c r="X8" i="9"/>
  <c r="X9" i="9"/>
  <c r="X15" i="9"/>
  <c r="X14" i="9"/>
  <c r="X13" i="9"/>
  <c r="X12" i="9"/>
  <c r="X11" i="9"/>
  <c r="X10" i="9"/>
  <c r="X88" i="9"/>
  <c r="X94" i="9"/>
  <c r="X85" i="9"/>
  <c r="X91" i="9"/>
  <c r="X82" i="9"/>
  <c r="X79" i="9"/>
  <c r="X96" i="9"/>
  <c r="X37" i="9"/>
  <c r="X38" i="9"/>
  <c r="X40" i="9"/>
  <c r="X46" i="9"/>
  <c r="X45" i="9"/>
  <c r="X44" i="9"/>
  <c r="X43" i="9"/>
  <c r="X42" i="9"/>
  <c r="X41" i="9"/>
  <c r="X83" i="9"/>
  <c r="X87" i="9"/>
  <c r="X93" i="9"/>
  <c r="X86" i="9"/>
  <c r="X92" i="9"/>
  <c r="X63" i="9"/>
  <c r="X98" i="9"/>
  <c r="X97" i="9"/>
  <c r="X81" i="9"/>
  <c r="X90" i="9"/>
  <c r="X95" i="9"/>
  <c r="X64" i="9"/>
  <c r="X65" i="9"/>
  <c r="X66" i="9"/>
  <c r="X89" i="9"/>
  <c r="X84" i="9"/>
  <c r="X80" i="9"/>
  <c r="X60" i="9"/>
  <c r="X57" i="9"/>
  <c r="X62" i="9"/>
  <c r="X58" i="9"/>
  <c r="X61" i="9"/>
  <c r="Z97" i="9"/>
  <c r="Z88" i="9"/>
  <c r="Z94" i="9"/>
  <c r="Z85" i="9"/>
  <c r="Z91" i="9"/>
  <c r="Z82" i="9"/>
  <c r="Z80" i="9"/>
  <c r="Z102" i="9"/>
  <c r="Z81" i="9"/>
  <c r="Z121" i="9"/>
  <c r="Z106" i="9"/>
  <c r="Z79" i="9"/>
  <c r="Z83" i="9"/>
  <c r="Z87" i="9"/>
  <c r="Z123" i="9"/>
  <c r="Z108" i="9"/>
  <c r="Z93" i="9"/>
  <c r="Z124" i="9"/>
  <c r="Z109" i="9"/>
  <c r="Z125" i="9"/>
  <c r="Z126" i="9"/>
  <c r="Z86" i="9"/>
  <c r="Z92" i="9"/>
  <c r="Z120" i="9"/>
  <c r="Z98" i="9"/>
  <c r="Z96" i="9"/>
  <c r="Z129" i="9"/>
  <c r="Z100" i="9"/>
  <c r="Z105" i="9"/>
  <c r="Z42" i="9"/>
  <c r="Z66" i="9"/>
  <c r="Z89" i="9"/>
  <c r="Z62" i="9"/>
  <c r="Z84" i="9"/>
  <c r="Z90" i="9"/>
  <c r="Z95" i="9"/>
  <c r="Z127" i="9"/>
  <c r="Z103" i="9"/>
  <c r="Z40" i="9"/>
  <c r="Z45" i="9"/>
  <c r="Z59" i="9"/>
  <c r="Z60" i="9"/>
  <c r="Z61" i="9"/>
  <c r="Z122" i="9"/>
  <c r="Z44" i="9"/>
  <c r="Z12" i="9"/>
  <c r="Z104" i="9"/>
  <c r="Z46" i="9"/>
  <c r="Z57" i="9"/>
  <c r="Z128" i="9"/>
  <c r="Z37" i="9"/>
  <c r="Z39" i="9"/>
  <c r="Z65" i="9"/>
  <c r="Z41" i="9"/>
  <c r="Z107" i="9"/>
  <c r="Z43" i="9"/>
  <c r="Z64" i="9"/>
  <c r="Z101" i="9"/>
  <c r="Z38" i="9"/>
  <c r="Z58" i="9"/>
  <c r="Z63" i="9"/>
  <c r="Z6" i="9"/>
  <c r="Z7" i="9"/>
  <c r="Z8" i="9"/>
  <c r="Z9" i="9"/>
  <c r="Z10" i="9"/>
  <c r="Z11" i="9"/>
  <c r="Z13" i="9"/>
  <c r="F79" i="9"/>
  <c r="F43" i="9"/>
  <c r="F63" i="9"/>
  <c r="F89" i="9"/>
  <c r="F58" i="9"/>
  <c r="F120" i="9"/>
  <c r="F42" i="9"/>
  <c r="F44" i="9"/>
  <c r="F100" i="9"/>
  <c r="F59" i="9"/>
  <c r="F60" i="9"/>
  <c r="F13" i="9"/>
  <c r="F61" i="9"/>
  <c r="F38" i="9"/>
  <c r="F62" i="9"/>
  <c r="F39" i="9"/>
  <c r="F64" i="9"/>
  <c r="F40" i="9"/>
  <c r="F65" i="9"/>
  <c r="F41" i="9"/>
  <c r="F66" i="9"/>
  <c r="F45" i="9"/>
  <c r="F46" i="9"/>
  <c r="F6" i="9"/>
  <c r="F7" i="9"/>
  <c r="F8" i="9"/>
  <c r="F9" i="9"/>
  <c r="F10" i="9"/>
  <c r="F11" i="9"/>
  <c r="F12" i="9"/>
  <c r="F14" i="9"/>
  <c r="F15" i="9"/>
  <c r="S10" i="6"/>
  <c r="F112" i="3"/>
  <c r="W6" i="9"/>
  <c r="W7" i="9"/>
  <c r="W8" i="9"/>
  <c r="W9" i="9"/>
  <c r="W15" i="9"/>
  <c r="W14" i="9"/>
  <c r="W13" i="9"/>
  <c r="W12" i="9"/>
  <c r="W11" i="9"/>
  <c r="W10" i="9"/>
  <c r="W85" i="9"/>
  <c r="W91" i="9"/>
  <c r="W82" i="9"/>
  <c r="W79" i="9"/>
  <c r="W80" i="9"/>
  <c r="W81" i="9"/>
  <c r="W83" i="9"/>
  <c r="W84" i="9"/>
  <c r="W88" i="9"/>
  <c r="W87" i="9"/>
  <c r="W86" i="9"/>
  <c r="W98" i="9"/>
  <c r="W95" i="9"/>
  <c r="W93" i="9"/>
  <c r="W37" i="9"/>
  <c r="W38" i="9"/>
  <c r="W40" i="9"/>
  <c r="W46" i="9"/>
  <c r="W45" i="9"/>
  <c r="W44" i="9"/>
  <c r="W43" i="9"/>
  <c r="W42" i="9"/>
  <c r="W41" i="9"/>
  <c r="W92" i="9"/>
  <c r="W63" i="9"/>
  <c r="W97" i="9"/>
  <c r="W96" i="9"/>
  <c r="W90" i="9"/>
  <c r="W89" i="9"/>
  <c r="W94" i="9"/>
  <c r="W58" i="9"/>
  <c r="W57" i="9"/>
  <c r="W65" i="9"/>
  <c r="W62" i="9"/>
  <c r="W64" i="9"/>
  <c r="W61" i="9"/>
  <c r="W60" i="9"/>
  <c r="W66" i="9"/>
  <c r="BN94" i="3"/>
  <c r="L17" i="20"/>
  <c r="L16" i="20"/>
  <c r="AN17" i="20"/>
  <c r="AN16" i="20" s="1"/>
  <c r="F11" i="3"/>
  <c r="F8" i="3"/>
  <c r="F64" i="3"/>
  <c r="BE87" i="3"/>
  <c r="E114" i="3"/>
  <c r="I1" i="27"/>
  <c r="Z61" i="10"/>
  <c r="Z58" i="10"/>
  <c r="Z65" i="10"/>
  <c r="Z63" i="10"/>
  <c r="Z59" i="10"/>
  <c r="Z17" i="10"/>
  <c r="Z64" i="10"/>
  <c r="Z56" i="10"/>
  <c r="Z57" i="10"/>
  <c r="Z60" i="10"/>
  <c r="Z62" i="10"/>
  <c r="Z20" i="10"/>
  <c r="Z10" i="10"/>
  <c r="Z21" i="10"/>
  <c r="Z6" i="10"/>
  <c r="Z15" i="10"/>
  <c r="Z16" i="10"/>
  <c r="Z18" i="10"/>
  <c r="Z11" i="10"/>
  <c r="Z19" i="10"/>
  <c r="Z22" i="10"/>
  <c r="Z23" i="10"/>
  <c r="Z24" i="10"/>
  <c r="Z8" i="10"/>
  <c r="Z9" i="10"/>
  <c r="Z12" i="10"/>
  <c r="Z13" i="10"/>
  <c r="Z14" i="10"/>
  <c r="J5" i="10"/>
  <c r="J6" i="10"/>
  <c r="J7" i="10"/>
  <c r="J8" i="10"/>
  <c r="J14" i="10"/>
  <c r="J13" i="10"/>
  <c r="J12" i="10"/>
  <c r="J11" i="10"/>
  <c r="J10" i="10"/>
  <c r="J9" i="10"/>
  <c r="J61" i="10"/>
  <c r="J58" i="10"/>
  <c r="J65" i="10"/>
  <c r="J63" i="10"/>
  <c r="J56" i="10"/>
  <c r="J60" i="10"/>
  <c r="J59" i="10"/>
  <c r="J64" i="10"/>
  <c r="J57" i="10"/>
  <c r="J62" i="10"/>
  <c r="J20" i="10"/>
  <c r="J21" i="10"/>
  <c r="J22" i="10"/>
  <c r="J23" i="10"/>
  <c r="J24" i="10"/>
  <c r="J15" i="10"/>
  <c r="J16" i="10"/>
  <c r="J17" i="10"/>
  <c r="J18" i="10"/>
  <c r="J19" i="10"/>
  <c r="R8" i="6"/>
  <c r="H8" i="4"/>
  <c r="AA108" i="3"/>
  <c r="AY4" i="20"/>
  <c r="AX4" i="20"/>
  <c r="V4" i="20"/>
  <c r="X124" i="3"/>
  <c r="E124" i="3"/>
  <c r="D12" i="4" s="1"/>
  <c r="W12" i="4" s="1"/>
  <c r="R90" i="3"/>
  <c r="X110" i="3"/>
  <c r="AU4" i="20"/>
  <c r="BK93" i="3"/>
  <c r="AV116" i="3"/>
  <c r="I109" i="3"/>
  <c r="D123" i="3"/>
  <c r="C11" i="4" s="1"/>
  <c r="V11" i="4" s="1"/>
  <c r="U119" i="3"/>
  <c r="M41" i="29"/>
  <c r="U20" i="29"/>
  <c r="K2" i="29"/>
  <c r="D41" i="29"/>
  <c r="E117" i="3"/>
  <c r="D5" i="4" s="1"/>
  <c r="D115" i="3"/>
  <c r="J4" i="20"/>
  <c r="E108" i="3"/>
  <c r="AK17" i="20"/>
  <c r="AK16" i="20" s="1"/>
  <c r="I17" i="20"/>
  <c r="I16" i="20" s="1"/>
  <c r="E123" i="3"/>
  <c r="D11" i="4" s="1"/>
  <c r="E95" i="3"/>
  <c r="E68" i="28"/>
  <c r="G68" i="28"/>
  <c r="H68" i="28"/>
  <c r="J68" i="28"/>
  <c r="F62" i="3"/>
  <c r="BK89" i="3"/>
  <c r="BB92" i="3"/>
  <c r="E92" i="3"/>
  <c r="D126" i="3"/>
  <c r="P4" i="4"/>
  <c r="D134" i="3"/>
  <c r="P12" i="4"/>
  <c r="U6" i="9"/>
  <c r="U7" i="9"/>
  <c r="U8" i="9"/>
  <c r="U11" i="9"/>
  <c r="U15" i="9"/>
  <c r="U14" i="9"/>
  <c r="U13" i="9"/>
  <c r="U12" i="9"/>
  <c r="U79" i="9"/>
  <c r="U98" i="9"/>
  <c r="U95" i="9"/>
  <c r="U86" i="9"/>
  <c r="U92" i="9"/>
  <c r="U83" i="9"/>
  <c r="U89" i="9"/>
  <c r="U81" i="9"/>
  <c r="U37" i="9"/>
  <c r="U38" i="9"/>
  <c r="U40" i="9"/>
  <c r="U46" i="9"/>
  <c r="U45" i="9"/>
  <c r="U44" i="9"/>
  <c r="U43" i="9"/>
  <c r="U42" i="9"/>
  <c r="U41" i="9"/>
  <c r="U82" i="9"/>
  <c r="U63" i="9"/>
  <c r="U60" i="9"/>
  <c r="U64" i="9"/>
  <c r="U97" i="9"/>
  <c r="U91" i="9"/>
  <c r="U96" i="9"/>
  <c r="U85" i="9"/>
  <c r="U90" i="9"/>
  <c r="U80" i="9"/>
  <c r="U84" i="9"/>
  <c r="U88" i="9"/>
  <c r="U61" i="9"/>
  <c r="U62" i="9"/>
  <c r="U93" i="9"/>
  <c r="U94" i="9"/>
  <c r="U58" i="9"/>
  <c r="U57" i="9"/>
  <c r="U65" i="9"/>
  <c r="U87" i="9"/>
  <c r="U66" i="9"/>
  <c r="AZ2" i="3"/>
  <c r="J40" i="11"/>
  <c r="M10" i="6"/>
  <c r="N10" i="6"/>
  <c r="U107" i="3"/>
  <c r="F28" i="28"/>
  <c r="J32" i="28"/>
  <c r="I32" i="28"/>
  <c r="E28" i="28"/>
  <c r="G28" i="28"/>
  <c r="H28" i="28"/>
  <c r="J28" i="28"/>
  <c r="D120" i="3"/>
  <c r="C8" i="4" s="1"/>
  <c r="V8" i="4" s="1"/>
  <c r="E91" i="3"/>
  <c r="F60" i="3"/>
  <c r="D72" i="3"/>
  <c r="D91" i="3"/>
  <c r="D133" i="3"/>
  <c r="P11" i="4"/>
  <c r="S20" i="37"/>
  <c r="V20" i="37"/>
  <c r="G2" i="37"/>
  <c r="L40" i="11"/>
  <c r="M12" i="6"/>
  <c r="N12" i="6"/>
  <c r="F58" i="3"/>
  <c r="D75" i="3"/>
  <c r="E86" i="3"/>
  <c r="D87" i="3"/>
  <c r="E88" i="3"/>
  <c r="D94" i="3"/>
  <c r="AX17" i="20"/>
  <c r="AX16" i="20" s="1"/>
  <c r="V17" i="20"/>
  <c r="V16" i="20"/>
  <c r="H10" i="4"/>
  <c r="R10" i="6"/>
  <c r="O90" i="3"/>
  <c r="U93" i="3"/>
  <c r="E93" i="3"/>
  <c r="E120" i="3"/>
  <c r="D8" i="4" s="1"/>
  <c r="F120" i="3"/>
  <c r="D116" i="3"/>
  <c r="C4" i="4" s="1"/>
  <c r="D118" i="14"/>
  <c r="F56" i="3"/>
  <c r="I87" i="3"/>
  <c r="AS91" i="3"/>
  <c r="E94" i="3"/>
  <c r="D12" i="14"/>
  <c r="D132" i="3"/>
  <c r="P10" i="4"/>
  <c r="AN4" i="20"/>
  <c r="AQ17" i="20"/>
  <c r="AQ16" i="20" s="1"/>
  <c r="S2" i="3"/>
  <c r="G20" i="39"/>
  <c r="G21" i="39"/>
  <c r="D44" i="14"/>
  <c r="D74" i="14"/>
  <c r="D66" i="3"/>
  <c r="D68" i="3"/>
  <c r="AK76" i="3"/>
  <c r="BL80" i="3"/>
  <c r="BC83" i="3"/>
  <c r="AV94" i="3"/>
  <c r="R113" i="3"/>
  <c r="D113" i="3"/>
  <c r="R106" i="3"/>
  <c r="M4" i="20"/>
  <c r="AO4" i="20"/>
  <c r="X4" i="20"/>
  <c r="AZ4" i="20"/>
  <c r="X118" i="3"/>
  <c r="AU17" i="20"/>
  <c r="AU16" i="20" s="1"/>
  <c r="E118" i="3"/>
  <c r="D6" i="4" s="1"/>
  <c r="W6" i="4" s="1"/>
  <c r="J77" i="3"/>
  <c r="M78" i="3"/>
  <c r="P81" i="3"/>
  <c r="S77" i="3"/>
  <c r="V79" i="3"/>
  <c r="Y82" i="3"/>
  <c r="L117" i="3"/>
  <c r="M17" i="20"/>
  <c r="M16" i="20"/>
  <c r="R116" i="3"/>
  <c r="AO17" i="20"/>
  <c r="AO16" i="20" s="1"/>
  <c r="X123" i="3"/>
  <c r="E90" i="3"/>
  <c r="D135" i="3"/>
  <c r="P13" i="4"/>
  <c r="AH4" i="20"/>
  <c r="AG92" i="3"/>
  <c r="AL17" i="20"/>
  <c r="AL16" i="20" s="1"/>
  <c r="C11" i="11"/>
  <c r="S17" i="20"/>
  <c r="S16" i="20" s="1"/>
  <c r="D118" i="3"/>
  <c r="C6" i="4" s="1"/>
  <c r="R17" i="20"/>
  <c r="R16" i="20" s="1"/>
  <c r="AT17" i="20"/>
  <c r="AT16" i="20" s="1"/>
  <c r="X117" i="3"/>
  <c r="AB76" i="3"/>
  <c r="V84" i="3"/>
  <c r="S80" i="3"/>
  <c r="P76" i="3"/>
  <c r="J84" i="3"/>
  <c r="AB77" i="3"/>
  <c r="V85" i="3"/>
  <c r="S81" i="3"/>
  <c r="P77" i="3"/>
  <c r="J85" i="3"/>
  <c r="AB78" i="3"/>
  <c r="S82" i="3"/>
  <c r="P78" i="3"/>
  <c r="AB80" i="3"/>
  <c r="Y76" i="3"/>
  <c r="S84" i="3"/>
  <c r="P80" i="3"/>
  <c r="M76" i="3"/>
  <c r="M83" i="3"/>
  <c r="J79" i="3"/>
  <c r="BF85" i="3"/>
  <c r="BI84" i="3"/>
  <c r="BI83" i="3"/>
  <c r="BI82" i="3"/>
  <c r="BI81" i="3"/>
  <c r="BO80" i="3"/>
  <c r="BO79" i="3"/>
  <c r="G77" i="3"/>
  <c r="M84" i="3"/>
  <c r="J80" i="3"/>
  <c r="BI85" i="3"/>
  <c r="BL84" i="3"/>
  <c r="BL83" i="3"/>
  <c r="BL82" i="3"/>
  <c r="BL81" i="3"/>
  <c r="G78" i="3"/>
  <c r="M85" i="3"/>
  <c r="J81" i="3"/>
  <c r="BL85" i="3"/>
  <c r="BO84" i="3"/>
  <c r="BO83" i="3"/>
  <c r="BO82" i="3"/>
  <c r="BO81" i="3"/>
  <c r="G79" i="3"/>
  <c r="AE77" i="3"/>
  <c r="AE76" i="3"/>
  <c r="J82" i="3"/>
  <c r="BO85" i="3"/>
  <c r="G83" i="3"/>
  <c r="G82" i="3"/>
  <c r="G81" i="3"/>
  <c r="G80" i="3"/>
  <c r="AE78" i="3"/>
  <c r="AH77" i="3"/>
  <c r="AH76" i="3"/>
  <c r="AB81" i="3"/>
  <c r="Y78" i="3"/>
  <c r="AE84" i="3"/>
  <c r="AK81" i="3"/>
  <c r="AK80" i="3"/>
  <c r="AK79" i="3"/>
  <c r="AN78" i="3"/>
  <c r="AQ77" i="3"/>
  <c r="AQ76" i="3"/>
  <c r="AB83" i="3"/>
  <c r="Y80" i="3"/>
  <c r="V76" i="3"/>
  <c r="AH85" i="3"/>
  <c r="AK85" i="3"/>
  <c r="BC84" i="3"/>
  <c r="AK82" i="3"/>
  <c r="AZ81" i="3"/>
  <c r="AN79" i="3"/>
  <c r="BF78" i="3"/>
  <c r="AN76" i="3"/>
  <c r="BL79" i="3"/>
  <c r="AN85" i="3"/>
  <c r="BF84" i="3"/>
  <c r="AN82" i="3"/>
  <c r="BC81" i="3"/>
  <c r="AQ79" i="3"/>
  <c r="BI78" i="3"/>
  <c r="AT76" i="3"/>
  <c r="AQ85" i="3"/>
  <c r="AE83" i="3"/>
  <c r="AQ82" i="3"/>
  <c r="BF81" i="3"/>
  <c r="AT79" i="3"/>
  <c r="BL78" i="3"/>
  <c r="AW76" i="3"/>
  <c r="AT83" i="3"/>
  <c r="AZ77" i="3"/>
  <c r="AT85" i="3"/>
  <c r="AT82" i="3"/>
  <c r="AE80" i="3"/>
  <c r="AW79" i="3"/>
  <c r="BO78" i="3"/>
  <c r="AZ76" i="3"/>
  <c r="AW85" i="3"/>
  <c r="AH83" i="3"/>
  <c r="AW82" i="3"/>
  <c r="AH80" i="3"/>
  <c r="AZ79" i="3"/>
  <c r="AK77" i="3"/>
  <c r="BC76" i="3"/>
  <c r="AZ85" i="3"/>
  <c r="AK83" i="3"/>
  <c r="AZ82" i="3"/>
  <c r="AN80" i="3"/>
  <c r="BC79" i="3"/>
  <c r="AN77" i="3"/>
  <c r="BF76" i="3"/>
  <c r="AE81" i="3"/>
  <c r="BC85" i="3"/>
  <c r="AN83" i="3"/>
  <c r="BC82" i="3"/>
  <c r="AQ80" i="3"/>
  <c r="BF79" i="3"/>
  <c r="AT77" i="3"/>
  <c r="BI76" i="3"/>
  <c r="Y77" i="3"/>
  <c r="AW80" i="3"/>
  <c r="G84" i="3"/>
  <c r="AQ83" i="3"/>
  <c r="BF82" i="3"/>
  <c r="AT80" i="3"/>
  <c r="BI79" i="3"/>
  <c r="AW77" i="3"/>
  <c r="BL76" i="3"/>
  <c r="T5" i="10"/>
  <c r="T6" i="10"/>
  <c r="T7" i="10"/>
  <c r="T8" i="10"/>
  <c r="T14" i="10"/>
  <c r="T13" i="10"/>
  <c r="T12" i="10"/>
  <c r="T11" i="10"/>
  <c r="T10" i="10"/>
  <c r="T9" i="10"/>
  <c r="T59" i="10"/>
  <c r="T56" i="10"/>
  <c r="T63" i="10"/>
  <c r="T61" i="10"/>
  <c r="T64" i="10"/>
  <c r="T58" i="10"/>
  <c r="T21" i="10"/>
  <c r="T57" i="10"/>
  <c r="T62" i="10"/>
  <c r="T60" i="10"/>
  <c r="T65" i="10"/>
  <c r="T15" i="10"/>
  <c r="T16" i="10"/>
  <c r="T17" i="10"/>
  <c r="T18" i="10"/>
  <c r="T19" i="10"/>
  <c r="T20" i="10"/>
  <c r="T24" i="10"/>
  <c r="T23" i="10"/>
  <c r="T22" i="10"/>
  <c r="R87" i="3"/>
  <c r="AP123" i="3"/>
  <c r="AQ4" i="20"/>
  <c r="O4" i="20"/>
  <c r="BH89" i="3"/>
  <c r="D92" i="3"/>
  <c r="I92" i="3"/>
  <c r="BK122" i="3"/>
  <c r="R110" i="3"/>
  <c r="U106" i="3"/>
  <c r="L116" i="3"/>
  <c r="AP89" i="3"/>
  <c r="BA17" i="20"/>
  <c r="BA16" i="20" s="1"/>
  <c r="AD116" i="3"/>
  <c r="D67" i="3"/>
  <c r="BN90" i="3"/>
  <c r="L90" i="3"/>
  <c r="BB91" i="3"/>
  <c r="R91" i="3"/>
  <c r="BN92" i="3"/>
  <c r="AD95" i="3"/>
  <c r="U4" i="20"/>
  <c r="AA125" i="3"/>
  <c r="BB87" i="3"/>
  <c r="AG95" i="3"/>
  <c r="AJ119" i="3"/>
  <c r="AP122" i="3"/>
  <c r="D40" i="14"/>
  <c r="D82" i="14"/>
  <c r="P4" i="20"/>
  <c r="AR17" i="20"/>
  <c r="AR16" i="20" s="1"/>
  <c r="F11" i="4"/>
  <c r="F15" i="4" s="1"/>
  <c r="F14" i="3"/>
  <c r="D70" i="3"/>
  <c r="BE89" i="3"/>
  <c r="AA92" i="3"/>
  <c r="AL4" i="20"/>
  <c r="O106" i="3"/>
  <c r="R109" i="3"/>
  <c r="R4" i="20"/>
  <c r="AT4" i="20"/>
  <c r="C3" i="32"/>
  <c r="C4" i="32"/>
  <c r="C5" i="32"/>
  <c r="M7" i="10"/>
  <c r="F10" i="4"/>
  <c r="C10" i="6"/>
  <c r="C12" i="6"/>
  <c r="F12" i="4"/>
  <c r="D8" i="14"/>
  <c r="I90" i="3"/>
  <c r="AJ112" i="3"/>
  <c r="S4" i="20"/>
  <c r="X108" i="3"/>
  <c r="Y17" i="20"/>
  <c r="Y16" i="20" s="1"/>
  <c r="C13" i="6"/>
  <c r="F13" i="4"/>
  <c r="BB114" i="3"/>
  <c r="N5" i="10"/>
  <c r="N6" i="10"/>
  <c r="N7" i="10"/>
  <c r="N8" i="10"/>
  <c r="N14" i="10"/>
  <c r="N13" i="10"/>
  <c r="N12" i="10"/>
  <c r="N11" i="10"/>
  <c r="N10" i="10"/>
  <c r="N9" i="10"/>
  <c r="N57" i="10"/>
  <c r="N64" i="10"/>
  <c r="N61" i="10"/>
  <c r="N59" i="10"/>
  <c r="N63" i="10"/>
  <c r="N62" i="10"/>
  <c r="N56" i="10"/>
  <c r="N58" i="10"/>
  <c r="N60" i="10"/>
  <c r="N65" i="10"/>
  <c r="N19" i="10"/>
  <c r="N24" i="10"/>
  <c r="N15" i="10"/>
  <c r="N16" i="10"/>
  <c r="N17" i="10"/>
  <c r="N18" i="10"/>
  <c r="N20" i="10"/>
  <c r="N23" i="10"/>
  <c r="N22" i="10"/>
  <c r="N21" i="10"/>
  <c r="L86" i="3"/>
  <c r="BE91" i="3"/>
  <c r="W4" i="20"/>
  <c r="AW4" i="20"/>
  <c r="E107" i="3"/>
  <c r="F6" i="3"/>
  <c r="F46" i="3"/>
  <c r="AM106" i="3"/>
  <c r="BQ107" i="3"/>
  <c r="BN113" i="3"/>
  <c r="E111" i="3"/>
  <c r="D121" i="3"/>
  <c r="C9" i="4" s="1"/>
  <c r="J17" i="20"/>
  <c r="J16" i="20" s="1"/>
  <c r="O117" i="3"/>
  <c r="U17" i="20"/>
  <c r="U16" i="20"/>
  <c r="X17" i="20"/>
  <c r="X16" i="20" s="1"/>
  <c r="D130" i="3"/>
  <c r="P8" i="4"/>
  <c r="D128" i="3"/>
  <c r="P6" i="4"/>
  <c r="M5" i="10"/>
  <c r="M8" i="10"/>
  <c r="M9" i="10"/>
  <c r="M10" i="10"/>
  <c r="M14" i="10"/>
  <c r="M13" i="10"/>
  <c r="M12" i="10"/>
  <c r="M11" i="10"/>
  <c r="M64" i="10"/>
  <c r="M61" i="10"/>
  <c r="M58" i="10"/>
  <c r="M56" i="10"/>
  <c r="M57" i="10"/>
  <c r="M62" i="10"/>
  <c r="M15" i="10"/>
  <c r="M60" i="10"/>
  <c r="M65" i="10"/>
  <c r="M59" i="10"/>
  <c r="M63" i="10"/>
  <c r="M16" i="10"/>
  <c r="M17" i="10"/>
  <c r="M18" i="10"/>
  <c r="M19" i="10"/>
  <c r="M20" i="10"/>
  <c r="M21" i="10"/>
  <c r="M22" i="10"/>
  <c r="M23" i="10"/>
  <c r="M24" i="10"/>
  <c r="I12" i="28"/>
  <c r="F9" i="3"/>
  <c r="E87" i="3"/>
  <c r="AJ106" i="3"/>
  <c r="BN107" i="3"/>
  <c r="AV114" i="3"/>
  <c r="D125" i="3"/>
  <c r="C13" i="4" s="1"/>
  <c r="G11" i="39"/>
  <c r="L5" i="10"/>
  <c r="L6" i="10"/>
  <c r="L7" i="10"/>
  <c r="L8" i="10"/>
  <c r="L14" i="10"/>
  <c r="L13" i="10"/>
  <c r="L12" i="10"/>
  <c r="L11" i="10"/>
  <c r="L10" i="10"/>
  <c r="L9" i="10"/>
  <c r="L64" i="10"/>
  <c r="L61" i="10"/>
  <c r="L58" i="10"/>
  <c r="L57" i="10"/>
  <c r="L62" i="10"/>
  <c r="L56" i="10"/>
  <c r="L21" i="10"/>
  <c r="L60" i="10"/>
  <c r="L65" i="10"/>
  <c r="L59" i="10"/>
  <c r="L16" i="10"/>
  <c r="L63" i="10"/>
  <c r="L15" i="10"/>
  <c r="L17" i="10"/>
  <c r="L18" i="10"/>
  <c r="L19" i="10"/>
  <c r="L24" i="10"/>
  <c r="L23" i="10"/>
  <c r="L22" i="10"/>
  <c r="L20" i="10"/>
  <c r="BN91" i="3"/>
  <c r="U92" i="3"/>
  <c r="O94" i="3"/>
  <c r="BK107" i="3"/>
  <c r="AS114" i="3"/>
  <c r="I110" i="3"/>
  <c r="E110" i="3"/>
  <c r="BA4" i="20"/>
  <c r="Y4" i="20"/>
  <c r="O123" i="3"/>
  <c r="R119" i="3"/>
  <c r="K5" i="10"/>
  <c r="K6" i="10"/>
  <c r="K7" i="10"/>
  <c r="K8" i="10"/>
  <c r="K14" i="10"/>
  <c r="K13" i="10"/>
  <c r="K12" i="10"/>
  <c r="K11" i="10"/>
  <c r="K10" i="10"/>
  <c r="K9" i="10"/>
  <c r="K64" i="10"/>
  <c r="K56" i="10"/>
  <c r="K57" i="10"/>
  <c r="K58" i="10"/>
  <c r="K59" i="10"/>
  <c r="K65" i="10"/>
  <c r="K63" i="10"/>
  <c r="K62" i="10"/>
  <c r="K61" i="10"/>
  <c r="K60" i="10"/>
  <c r="K23" i="10"/>
  <c r="K15" i="10"/>
  <c r="K16" i="10"/>
  <c r="K17" i="10"/>
  <c r="K18" i="10"/>
  <c r="K19" i="10"/>
  <c r="K20" i="10"/>
  <c r="K21" i="10"/>
  <c r="K22" i="10"/>
  <c r="K24" i="10"/>
  <c r="T6" i="9"/>
  <c r="T7" i="9"/>
  <c r="T8" i="9"/>
  <c r="T9" i="9"/>
  <c r="T15" i="9"/>
  <c r="T14" i="9"/>
  <c r="T13" i="9"/>
  <c r="T12" i="9"/>
  <c r="T11" i="9"/>
  <c r="T10" i="9"/>
  <c r="T98" i="9"/>
  <c r="T95" i="9"/>
  <c r="T86" i="9"/>
  <c r="T79" i="9"/>
  <c r="T80" i="9"/>
  <c r="T81" i="9"/>
  <c r="T82" i="9"/>
  <c r="T88" i="9"/>
  <c r="T87" i="9"/>
  <c r="T85" i="9"/>
  <c r="T84" i="9"/>
  <c r="T83" i="9"/>
  <c r="T92" i="9"/>
  <c r="T89" i="9"/>
  <c r="T37" i="9"/>
  <c r="T38" i="9"/>
  <c r="T40" i="9"/>
  <c r="T46" i="9"/>
  <c r="T45" i="9"/>
  <c r="T44" i="9"/>
  <c r="T43" i="9"/>
  <c r="T42" i="9"/>
  <c r="T41" i="9"/>
  <c r="T60" i="9"/>
  <c r="T64" i="9"/>
  <c r="T97" i="9"/>
  <c r="T91" i="9"/>
  <c r="T96" i="9"/>
  <c r="T90" i="9"/>
  <c r="T61" i="9"/>
  <c r="T62" i="9"/>
  <c r="T63" i="9"/>
  <c r="T93" i="9"/>
  <c r="T94" i="9"/>
  <c r="T57" i="9"/>
  <c r="T65" i="9"/>
  <c r="T58" i="9"/>
  <c r="T66" i="9"/>
  <c r="F56" i="10"/>
  <c r="F8" i="10"/>
  <c r="F15" i="10"/>
  <c r="F12" i="10"/>
  <c r="F5" i="10"/>
  <c r="F6" i="10"/>
  <c r="F7" i="10"/>
  <c r="F9" i="10"/>
  <c r="BH122" i="3"/>
  <c r="L119" i="3"/>
  <c r="S10" i="9"/>
  <c r="S11" i="9"/>
  <c r="S12" i="9"/>
  <c r="S13" i="9"/>
  <c r="S15" i="9"/>
  <c r="S14" i="9"/>
  <c r="S95" i="9"/>
  <c r="S86" i="9"/>
  <c r="S92" i="9"/>
  <c r="S83" i="9"/>
  <c r="S89" i="9"/>
  <c r="S80" i="9"/>
  <c r="S97" i="9"/>
  <c r="S37" i="9"/>
  <c r="S38" i="9"/>
  <c r="S40" i="9"/>
  <c r="S46" i="9"/>
  <c r="S45" i="9"/>
  <c r="S44" i="9"/>
  <c r="S43" i="9"/>
  <c r="S42" i="9"/>
  <c r="S41" i="9"/>
  <c r="S79" i="9"/>
  <c r="S81" i="9"/>
  <c r="S82" i="9"/>
  <c r="S84" i="9"/>
  <c r="S85" i="9"/>
  <c r="S88" i="9"/>
  <c r="S87" i="9"/>
  <c r="S60" i="9"/>
  <c r="S64" i="9"/>
  <c r="S98" i="9"/>
  <c r="S91" i="9"/>
  <c r="S96" i="9"/>
  <c r="S90" i="9"/>
  <c r="S94" i="9"/>
  <c r="S93" i="9"/>
  <c r="S65" i="9"/>
  <c r="S62" i="9"/>
  <c r="S61" i="9"/>
  <c r="S58" i="9"/>
  <c r="S66" i="9"/>
  <c r="S63" i="9"/>
  <c r="S57" i="9"/>
  <c r="I44" i="37"/>
  <c r="Q13" i="10"/>
  <c r="R6" i="9"/>
  <c r="R7" i="9"/>
  <c r="R8" i="9"/>
  <c r="R9" i="9"/>
  <c r="R15" i="9"/>
  <c r="R14" i="9"/>
  <c r="R13" i="9"/>
  <c r="R12" i="9"/>
  <c r="R11" i="9"/>
  <c r="R10" i="9"/>
  <c r="R86" i="9"/>
  <c r="R92" i="9"/>
  <c r="R83" i="9"/>
  <c r="R89" i="9"/>
  <c r="R80" i="9"/>
  <c r="R37" i="9"/>
  <c r="R38" i="9"/>
  <c r="R40" i="9"/>
  <c r="R46" i="9"/>
  <c r="R45" i="9"/>
  <c r="R44" i="9"/>
  <c r="R43" i="9"/>
  <c r="R42" i="9"/>
  <c r="R41" i="9"/>
  <c r="R96" i="9"/>
  <c r="R88" i="9"/>
  <c r="R94" i="9"/>
  <c r="R82" i="9"/>
  <c r="R98" i="9"/>
  <c r="R91" i="9"/>
  <c r="R97" i="9"/>
  <c r="R81" i="9"/>
  <c r="R85" i="9"/>
  <c r="R90" i="9"/>
  <c r="R84" i="9"/>
  <c r="R95" i="9"/>
  <c r="R87" i="9"/>
  <c r="R60" i="9"/>
  <c r="R79" i="9"/>
  <c r="R93" i="9"/>
  <c r="R62" i="9"/>
  <c r="R61" i="9"/>
  <c r="R64" i="9"/>
  <c r="R58" i="9"/>
  <c r="R66" i="9"/>
  <c r="R63" i="9"/>
  <c r="R57" i="9"/>
  <c r="R65" i="9"/>
  <c r="Q12" i="10"/>
  <c r="L118" i="3"/>
  <c r="F118" i="3"/>
  <c r="AW17" i="20"/>
  <c r="AW16" i="20"/>
  <c r="Q11" i="10"/>
  <c r="Q9" i="10"/>
  <c r="M51" i="29"/>
  <c r="M53" i="29"/>
  <c r="D53" i="29"/>
  <c r="F6" i="4"/>
  <c r="C6" i="6"/>
  <c r="S5" i="10"/>
  <c r="S6" i="10"/>
  <c r="S7" i="10"/>
  <c r="S8" i="10"/>
  <c r="S14" i="10"/>
  <c r="S13" i="10"/>
  <c r="S12" i="10"/>
  <c r="S11" i="10"/>
  <c r="S10" i="10"/>
  <c r="S56" i="10"/>
  <c r="S63" i="10"/>
  <c r="S60" i="10"/>
  <c r="S58" i="10"/>
  <c r="S57" i="10"/>
  <c r="S62" i="10"/>
  <c r="S61" i="10"/>
  <c r="S65" i="10"/>
  <c r="S59" i="10"/>
  <c r="S64" i="10"/>
  <c r="S18" i="10"/>
  <c r="S20" i="10"/>
  <c r="S21" i="10"/>
  <c r="S22" i="10"/>
  <c r="S23" i="10"/>
  <c r="S24" i="10"/>
  <c r="S15" i="10"/>
  <c r="S16" i="10"/>
  <c r="S17" i="10"/>
  <c r="S19" i="10"/>
  <c r="F7" i="4"/>
  <c r="C7" i="6"/>
  <c r="R5" i="10"/>
  <c r="R6" i="10"/>
  <c r="R7" i="10"/>
  <c r="R8" i="10"/>
  <c r="R14" i="10"/>
  <c r="R13" i="10"/>
  <c r="R12" i="10"/>
  <c r="R11" i="10"/>
  <c r="R10" i="10"/>
  <c r="R9" i="10"/>
  <c r="R63" i="10"/>
  <c r="R60" i="10"/>
  <c r="R57" i="10"/>
  <c r="R58" i="10"/>
  <c r="R56" i="10"/>
  <c r="R59" i="10"/>
  <c r="R61" i="10"/>
  <c r="R62" i="10"/>
  <c r="R65" i="10"/>
  <c r="R64" i="10"/>
  <c r="R17" i="10"/>
  <c r="R15" i="10"/>
  <c r="R16" i="10"/>
  <c r="R18" i="10"/>
  <c r="R19" i="10"/>
  <c r="R20" i="10"/>
  <c r="R21" i="10"/>
  <c r="R22" i="10"/>
  <c r="R24" i="10"/>
  <c r="R23" i="10"/>
  <c r="J67" i="28"/>
  <c r="I67" i="28"/>
  <c r="AQ2" i="3"/>
  <c r="Q5" i="10"/>
  <c r="Q6" i="10"/>
  <c r="Q7" i="10"/>
  <c r="Q10" i="10"/>
  <c r="Q14" i="10"/>
  <c r="Q63" i="10"/>
  <c r="Q60" i="10"/>
  <c r="Q57" i="10"/>
  <c r="Q23" i="10"/>
  <c r="Q62" i="10"/>
  <c r="Q56" i="10"/>
  <c r="Q61" i="10"/>
  <c r="Q65" i="10"/>
  <c r="Q15" i="10"/>
  <c r="Q58" i="10"/>
  <c r="Q59" i="10"/>
  <c r="Q64" i="10"/>
  <c r="Q18" i="10"/>
  <c r="Q19" i="10"/>
  <c r="Q20" i="10"/>
  <c r="Q21" i="10"/>
  <c r="Q22" i="10"/>
  <c r="Q24" i="10"/>
  <c r="Q16" i="10"/>
  <c r="Q17" i="10"/>
  <c r="C52" i="37"/>
  <c r="G93" i="28"/>
  <c r="H93" i="28"/>
  <c r="J93" i="28"/>
  <c r="F9" i="4"/>
  <c r="C9" i="6"/>
  <c r="P5" i="10"/>
  <c r="P6" i="10"/>
  <c r="P7" i="10"/>
  <c r="P8" i="10"/>
  <c r="P14" i="10"/>
  <c r="P13" i="10"/>
  <c r="P12" i="10"/>
  <c r="P11" i="10"/>
  <c r="P10" i="10"/>
  <c r="P9" i="10"/>
  <c r="P63" i="10"/>
  <c r="P60" i="10"/>
  <c r="P57" i="10"/>
  <c r="P65" i="10"/>
  <c r="P62" i="10"/>
  <c r="P56" i="10"/>
  <c r="P61" i="10"/>
  <c r="P22" i="10"/>
  <c r="P58" i="10"/>
  <c r="P59" i="10"/>
  <c r="P64" i="10"/>
  <c r="P15" i="10"/>
  <c r="P16" i="10"/>
  <c r="P17" i="10"/>
  <c r="P18" i="10"/>
  <c r="P19" i="10"/>
  <c r="P20" i="10"/>
  <c r="P21" i="10"/>
  <c r="P23" i="10"/>
  <c r="P24" i="10"/>
  <c r="K6" i="9"/>
  <c r="K7" i="9"/>
  <c r="K8" i="9"/>
  <c r="K9" i="9"/>
  <c r="K13" i="9"/>
  <c r="K10" i="9"/>
  <c r="K81" i="9"/>
  <c r="K97" i="9"/>
  <c r="K88" i="9"/>
  <c r="K94" i="9"/>
  <c r="K85" i="9"/>
  <c r="K91" i="9"/>
  <c r="K83" i="9"/>
  <c r="K89" i="9"/>
  <c r="K37" i="9"/>
  <c r="K39" i="9"/>
  <c r="K40" i="9"/>
  <c r="K46" i="9"/>
  <c r="K45" i="9"/>
  <c r="K44" i="9"/>
  <c r="K43" i="9"/>
  <c r="K42" i="9"/>
  <c r="K41" i="9"/>
  <c r="K84" i="9"/>
  <c r="K96" i="9"/>
  <c r="K121" i="9"/>
  <c r="K62" i="9"/>
  <c r="K66" i="9"/>
  <c r="K90" i="9"/>
  <c r="K95" i="9"/>
  <c r="K80" i="9"/>
  <c r="K79" i="9"/>
  <c r="K87" i="9"/>
  <c r="K93" i="9"/>
  <c r="K120" i="9"/>
  <c r="K57" i="9"/>
  <c r="K100" i="9"/>
  <c r="K63" i="9"/>
  <c r="K64" i="9"/>
  <c r="K65" i="9"/>
  <c r="K86" i="9"/>
  <c r="K82" i="9"/>
  <c r="K92" i="9"/>
  <c r="K98" i="9"/>
  <c r="K61" i="9"/>
  <c r="K101" i="9"/>
  <c r="K60" i="9"/>
  <c r="K59" i="9"/>
  <c r="O5" i="10"/>
  <c r="O6" i="10"/>
  <c r="O9" i="10"/>
  <c r="O13" i="10"/>
  <c r="O14" i="10"/>
  <c r="O60" i="10"/>
  <c r="O57" i="10"/>
  <c r="O64" i="10"/>
  <c r="O62" i="10"/>
  <c r="O63" i="10"/>
  <c r="O19" i="10"/>
  <c r="O56" i="10"/>
  <c r="O61" i="10"/>
  <c r="O65" i="10"/>
  <c r="O59" i="10"/>
  <c r="O58" i="10"/>
  <c r="O16" i="10"/>
  <c r="O17" i="10"/>
  <c r="O18" i="10"/>
  <c r="O20" i="10"/>
  <c r="O21" i="10"/>
  <c r="O22" i="10"/>
  <c r="O23" i="10"/>
  <c r="O24" i="10"/>
  <c r="O15" i="10"/>
  <c r="V6" i="9"/>
  <c r="V7" i="9"/>
  <c r="V8" i="9"/>
  <c r="V9" i="9"/>
  <c r="V15" i="9"/>
  <c r="V14" i="9"/>
  <c r="V13" i="9"/>
  <c r="V12" i="9"/>
  <c r="V11" i="9"/>
  <c r="V10" i="9"/>
  <c r="V82" i="9"/>
  <c r="V79" i="9"/>
  <c r="V98" i="9"/>
  <c r="V95" i="9"/>
  <c r="V86" i="9"/>
  <c r="V92" i="9"/>
  <c r="V84" i="9"/>
  <c r="V90" i="9"/>
  <c r="V37" i="9"/>
  <c r="V38" i="9"/>
  <c r="V40" i="9"/>
  <c r="V46" i="9"/>
  <c r="V45" i="9"/>
  <c r="V44" i="9"/>
  <c r="V43" i="9"/>
  <c r="V42" i="9"/>
  <c r="V41" i="9"/>
  <c r="V85" i="9"/>
  <c r="V93" i="9"/>
  <c r="V97" i="9"/>
  <c r="V91" i="9"/>
  <c r="V96" i="9"/>
  <c r="V81" i="9"/>
  <c r="V89" i="9"/>
  <c r="V80" i="9"/>
  <c r="V83" i="9"/>
  <c r="V63" i="9"/>
  <c r="V94" i="9"/>
  <c r="V58" i="9"/>
  <c r="V57" i="9"/>
  <c r="V65" i="9"/>
  <c r="V62" i="9"/>
  <c r="V87" i="9"/>
  <c r="V88" i="9"/>
  <c r="V64" i="9"/>
  <c r="V61" i="9"/>
  <c r="V60" i="9"/>
  <c r="V66" i="9"/>
  <c r="I51" i="37"/>
  <c r="I43" i="37"/>
  <c r="M8" i="9"/>
  <c r="O7" i="9"/>
  <c r="U9" i="10"/>
  <c r="W10" i="10"/>
  <c r="Y10" i="10"/>
  <c r="I58" i="37"/>
  <c r="U8" i="10"/>
  <c r="W8" i="10"/>
  <c r="Y9" i="10"/>
  <c r="I50" i="37"/>
  <c r="I42" i="37"/>
  <c r="N15" i="9"/>
  <c r="P13" i="9"/>
  <c r="U6" i="10"/>
  <c r="W6" i="10"/>
  <c r="Y8" i="10"/>
  <c r="L15" i="9"/>
  <c r="N14" i="9"/>
  <c r="P12" i="9"/>
  <c r="Y7" i="10"/>
  <c r="L14" i="9"/>
  <c r="N13" i="9"/>
  <c r="P11" i="9"/>
  <c r="Y6" i="10"/>
  <c r="Q7" i="9"/>
  <c r="Q9" i="9"/>
  <c r="Q12" i="9"/>
  <c r="Q14" i="9"/>
  <c r="Q15" i="9"/>
  <c r="Q83" i="9"/>
  <c r="Q89" i="9"/>
  <c r="Q80" i="9"/>
  <c r="Q37" i="9"/>
  <c r="Q38" i="9"/>
  <c r="Q40" i="9"/>
  <c r="Q46" i="9"/>
  <c r="Q45" i="9"/>
  <c r="Q44" i="9"/>
  <c r="Q43" i="9"/>
  <c r="Q42" i="9"/>
  <c r="Q41" i="9"/>
  <c r="Q120" i="9"/>
  <c r="Q96" i="9"/>
  <c r="Q87" i="9"/>
  <c r="Q93" i="9"/>
  <c r="Q85" i="9"/>
  <c r="Q91" i="9"/>
  <c r="Q86" i="9"/>
  <c r="Q60" i="9"/>
  <c r="Q64" i="9"/>
  <c r="Q82" i="9"/>
  <c r="Q92" i="9"/>
  <c r="Q98" i="9"/>
  <c r="Q97" i="9"/>
  <c r="Q100" i="9"/>
  <c r="Q101" i="9"/>
  <c r="Q81" i="9"/>
  <c r="Q90" i="9"/>
  <c r="Q61" i="9"/>
  <c r="Q65" i="9"/>
  <c r="Q84" i="9"/>
  <c r="Q88" i="9"/>
  <c r="Q95" i="9"/>
  <c r="Q94" i="9"/>
  <c r="Q58" i="9"/>
  <c r="Q79" i="9"/>
  <c r="Q121" i="9"/>
  <c r="Q62" i="9"/>
  <c r="Q66" i="9"/>
  <c r="Q63" i="9"/>
  <c r="Q57" i="9"/>
  <c r="L12" i="9"/>
  <c r="N10" i="9"/>
  <c r="V12" i="10"/>
  <c r="X14" i="10"/>
  <c r="Y12" i="10"/>
  <c r="Y58" i="10"/>
  <c r="Y65" i="10"/>
  <c r="Y62" i="10"/>
  <c r="Y60" i="10"/>
  <c r="Y59" i="10"/>
  <c r="Y23" i="10"/>
  <c r="Y64" i="10"/>
  <c r="Y63" i="10"/>
  <c r="Y57" i="10"/>
  <c r="Y56" i="10"/>
  <c r="Y61" i="10"/>
  <c r="Y22" i="10"/>
  <c r="Y24" i="10"/>
  <c r="Y15" i="10"/>
  <c r="Y16" i="10"/>
  <c r="Y17" i="10"/>
  <c r="Y18" i="10"/>
  <c r="Y19" i="10"/>
  <c r="Y20" i="10"/>
  <c r="Y21" i="10"/>
  <c r="I7" i="10"/>
  <c r="I10" i="10"/>
  <c r="I11" i="10"/>
  <c r="I12" i="10"/>
  <c r="I14" i="10"/>
  <c r="I13" i="10"/>
  <c r="I58" i="10"/>
  <c r="I65" i="10"/>
  <c r="I62" i="10"/>
  <c r="I60" i="10"/>
  <c r="I61" i="10"/>
  <c r="I59" i="10"/>
  <c r="I64" i="10"/>
  <c r="I19" i="10"/>
  <c r="I56" i="10"/>
  <c r="I57" i="10"/>
  <c r="I63" i="10"/>
  <c r="I15" i="10"/>
  <c r="I16" i="10"/>
  <c r="I17" i="10"/>
  <c r="I18" i="10"/>
  <c r="I20" i="10"/>
  <c r="I21" i="10"/>
  <c r="I22" i="10"/>
  <c r="I23" i="10"/>
  <c r="I24" i="10"/>
  <c r="P6" i="9"/>
  <c r="P7" i="9"/>
  <c r="P8" i="9"/>
  <c r="P9" i="9"/>
  <c r="P15" i="9"/>
  <c r="P14" i="9"/>
  <c r="P80" i="9"/>
  <c r="P37" i="9"/>
  <c r="P38" i="9"/>
  <c r="P40" i="9"/>
  <c r="P46" i="9"/>
  <c r="P45" i="9"/>
  <c r="P44" i="9"/>
  <c r="P43" i="9"/>
  <c r="P42" i="9"/>
  <c r="P41" i="9"/>
  <c r="P120" i="9"/>
  <c r="P96" i="9"/>
  <c r="P87" i="9"/>
  <c r="P93" i="9"/>
  <c r="P84" i="9"/>
  <c r="P90" i="9"/>
  <c r="P82" i="9"/>
  <c r="P83" i="9"/>
  <c r="P92" i="9"/>
  <c r="P98" i="9"/>
  <c r="P86" i="9"/>
  <c r="P97" i="9"/>
  <c r="P91" i="9"/>
  <c r="P101" i="9"/>
  <c r="P81" i="9"/>
  <c r="P61" i="9"/>
  <c r="P65" i="9"/>
  <c r="P85" i="9"/>
  <c r="P57" i="9"/>
  <c r="P88" i="9"/>
  <c r="P95" i="9"/>
  <c r="P89" i="9"/>
  <c r="P94" i="9"/>
  <c r="P58" i="9"/>
  <c r="P60" i="9"/>
  <c r="P79" i="9"/>
  <c r="P100" i="9"/>
  <c r="P62" i="9"/>
  <c r="P121" i="9"/>
  <c r="P64" i="9"/>
  <c r="P66" i="9"/>
  <c r="P63" i="9"/>
  <c r="I48" i="37"/>
  <c r="I40" i="37"/>
  <c r="L11" i="9"/>
  <c r="N9" i="9"/>
  <c r="V11" i="10"/>
  <c r="G79" i="9"/>
  <c r="G39" i="9"/>
  <c r="G89" i="9"/>
  <c r="G41" i="9"/>
  <c r="G59" i="9"/>
  <c r="G63" i="9"/>
  <c r="G42" i="9"/>
  <c r="G43" i="9"/>
  <c r="G120" i="9"/>
  <c r="G7" i="9"/>
  <c r="G40" i="9"/>
  <c r="G44" i="9"/>
  <c r="G45" i="9"/>
  <c r="G60" i="9"/>
  <c r="G61" i="9"/>
  <c r="G62" i="9"/>
  <c r="G46" i="9"/>
  <c r="G64" i="9"/>
  <c r="G6" i="9"/>
  <c r="G66" i="9"/>
  <c r="G11" i="9"/>
  <c r="G65" i="9"/>
  <c r="G100" i="9"/>
  <c r="X6" i="10"/>
  <c r="X8" i="10"/>
  <c r="X9" i="10"/>
  <c r="X10" i="10"/>
  <c r="X12" i="10"/>
  <c r="X11" i="10"/>
  <c r="X65" i="10"/>
  <c r="X62" i="10"/>
  <c r="X59" i="10"/>
  <c r="X57" i="10"/>
  <c r="X64" i="10"/>
  <c r="X58" i="10"/>
  <c r="X63" i="10"/>
  <c r="X56" i="10"/>
  <c r="X17" i="10"/>
  <c r="X60" i="10"/>
  <c r="X18" i="10"/>
  <c r="X61" i="10"/>
  <c r="X15" i="10"/>
  <c r="X16" i="10"/>
  <c r="X19" i="10"/>
  <c r="X20" i="10"/>
  <c r="X21" i="10"/>
  <c r="X22" i="10"/>
  <c r="X23" i="10"/>
  <c r="X24" i="10"/>
  <c r="O37" i="9"/>
  <c r="O38" i="9"/>
  <c r="O40" i="9"/>
  <c r="O46" i="9"/>
  <c r="O45" i="9"/>
  <c r="O44" i="9"/>
  <c r="O43" i="9"/>
  <c r="O42" i="9"/>
  <c r="O41" i="9"/>
  <c r="O120" i="9"/>
  <c r="O9" i="9"/>
  <c r="O13" i="9"/>
  <c r="O15" i="9"/>
  <c r="O96" i="9"/>
  <c r="O87" i="9"/>
  <c r="O93" i="9"/>
  <c r="O84" i="9"/>
  <c r="O90" i="9"/>
  <c r="O81" i="9"/>
  <c r="O79" i="9"/>
  <c r="O80" i="9"/>
  <c r="O82" i="9"/>
  <c r="O86" i="9"/>
  <c r="O97" i="9"/>
  <c r="O100" i="9"/>
  <c r="O91" i="9"/>
  <c r="O61" i="9"/>
  <c r="O65" i="9"/>
  <c r="O85" i="9"/>
  <c r="O57" i="9"/>
  <c r="O88" i="9"/>
  <c r="O95" i="9"/>
  <c r="O89" i="9"/>
  <c r="O94" i="9"/>
  <c r="O83" i="9"/>
  <c r="O98" i="9"/>
  <c r="O101" i="9"/>
  <c r="O66" i="9"/>
  <c r="O92" i="9"/>
  <c r="O121" i="9"/>
  <c r="O64" i="9"/>
  <c r="O58" i="9"/>
  <c r="O63" i="9"/>
  <c r="O60" i="9"/>
  <c r="O62" i="9"/>
  <c r="L10" i="9"/>
  <c r="V10" i="10"/>
  <c r="W7" i="10"/>
  <c r="W9" i="10"/>
  <c r="W12" i="10"/>
  <c r="W65" i="10"/>
  <c r="W62" i="10"/>
  <c r="W59" i="10"/>
  <c r="W56" i="10"/>
  <c r="W64" i="10"/>
  <c r="W19" i="10"/>
  <c r="W58" i="10"/>
  <c r="W63" i="10"/>
  <c r="W57" i="10"/>
  <c r="W61" i="10"/>
  <c r="W60" i="10"/>
  <c r="W24" i="10"/>
  <c r="W22" i="10"/>
  <c r="W23" i="10"/>
  <c r="W15" i="10"/>
  <c r="W16" i="10"/>
  <c r="W17" i="10"/>
  <c r="W18" i="10"/>
  <c r="W20" i="10"/>
  <c r="W21" i="10"/>
  <c r="G8" i="39"/>
  <c r="N6" i="9"/>
  <c r="N7" i="9"/>
  <c r="N11" i="9"/>
  <c r="N12" i="9"/>
  <c r="N96" i="9"/>
  <c r="N87" i="9"/>
  <c r="N93" i="9"/>
  <c r="N84" i="9"/>
  <c r="N90" i="9"/>
  <c r="N81" i="9"/>
  <c r="N98" i="9"/>
  <c r="N37" i="9"/>
  <c r="N39" i="9"/>
  <c r="N40" i="9"/>
  <c r="N46" i="9"/>
  <c r="N45" i="9"/>
  <c r="N44" i="9"/>
  <c r="N43" i="9"/>
  <c r="N42" i="9"/>
  <c r="N41" i="9"/>
  <c r="N100" i="9"/>
  <c r="N91" i="9"/>
  <c r="N101" i="9"/>
  <c r="N85" i="9"/>
  <c r="N57" i="9"/>
  <c r="N88" i="9"/>
  <c r="N95" i="9"/>
  <c r="N89" i="9"/>
  <c r="N94" i="9"/>
  <c r="N80" i="9"/>
  <c r="N79" i="9"/>
  <c r="N120" i="9"/>
  <c r="N66" i="9"/>
  <c r="N86" i="9"/>
  <c r="N59" i="9"/>
  <c r="N121" i="9"/>
  <c r="N97" i="9"/>
  <c r="N82" i="9"/>
  <c r="N64" i="9"/>
  <c r="N83" i="9"/>
  <c r="N61" i="9"/>
  <c r="N63" i="9"/>
  <c r="N60" i="9"/>
  <c r="N62" i="9"/>
  <c r="N65" i="9"/>
  <c r="N92" i="9"/>
  <c r="L8" i="9"/>
  <c r="G14" i="39"/>
  <c r="V5" i="10"/>
  <c r="V7" i="10"/>
  <c r="V8" i="10"/>
  <c r="V13" i="10"/>
  <c r="V14" i="10"/>
  <c r="V65" i="10"/>
  <c r="V62" i="10"/>
  <c r="V59" i="10"/>
  <c r="V56" i="10"/>
  <c r="V64" i="10"/>
  <c r="V58" i="10"/>
  <c r="V63" i="10"/>
  <c r="V57" i="10"/>
  <c r="V61" i="10"/>
  <c r="V15" i="10"/>
  <c r="V16" i="10"/>
  <c r="V17" i="10"/>
  <c r="V18" i="10"/>
  <c r="V19" i="10"/>
  <c r="V20" i="10"/>
  <c r="V21" i="10"/>
  <c r="V22" i="10"/>
  <c r="V23" i="10"/>
  <c r="V24" i="10"/>
  <c r="V60" i="10"/>
  <c r="M6" i="9"/>
  <c r="M10" i="9"/>
  <c r="M15" i="9"/>
  <c r="M87" i="9"/>
  <c r="M93" i="9"/>
  <c r="M84" i="9"/>
  <c r="M90" i="9"/>
  <c r="M81" i="9"/>
  <c r="M95" i="9"/>
  <c r="M37" i="9"/>
  <c r="M39" i="9"/>
  <c r="M40" i="9"/>
  <c r="M46" i="9"/>
  <c r="M45" i="9"/>
  <c r="M44" i="9"/>
  <c r="M43" i="9"/>
  <c r="M42" i="9"/>
  <c r="M41" i="9"/>
  <c r="M61" i="9"/>
  <c r="M65" i="9"/>
  <c r="M85" i="9"/>
  <c r="M96" i="9"/>
  <c r="M88" i="9"/>
  <c r="M121" i="9"/>
  <c r="M62" i="9"/>
  <c r="M66" i="9"/>
  <c r="M89" i="9"/>
  <c r="M94" i="9"/>
  <c r="M80" i="9"/>
  <c r="M79" i="9"/>
  <c r="M83" i="9"/>
  <c r="M98" i="9"/>
  <c r="M57" i="9"/>
  <c r="M120" i="9"/>
  <c r="M100" i="9"/>
  <c r="M86" i="9"/>
  <c r="M91" i="9"/>
  <c r="M92" i="9"/>
  <c r="M59" i="9"/>
  <c r="M97" i="9"/>
  <c r="M82" i="9"/>
  <c r="M64" i="9"/>
  <c r="M101" i="9"/>
  <c r="M63" i="9"/>
  <c r="M60" i="9"/>
  <c r="V22" i="37"/>
  <c r="I62" i="37"/>
  <c r="U7" i="10"/>
  <c r="U11" i="10"/>
  <c r="U62" i="10"/>
  <c r="U59" i="10"/>
  <c r="U56" i="10"/>
  <c r="U64" i="10"/>
  <c r="U58" i="10"/>
  <c r="U63" i="10"/>
  <c r="U15" i="10"/>
  <c r="U57" i="10"/>
  <c r="U61" i="10"/>
  <c r="U60" i="10"/>
  <c r="U21" i="10"/>
  <c r="U65" i="10"/>
  <c r="U22" i="10"/>
  <c r="U23" i="10"/>
  <c r="U24" i="10"/>
  <c r="U16" i="10"/>
  <c r="U17" i="10"/>
  <c r="U18" i="10"/>
  <c r="U19" i="10"/>
  <c r="U20" i="10"/>
  <c r="L7" i="9"/>
  <c r="L9" i="9"/>
  <c r="L13" i="9"/>
  <c r="L84" i="9"/>
  <c r="L90" i="9"/>
  <c r="L81" i="9"/>
  <c r="L97" i="9"/>
  <c r="L88" i="9"/>
  <c r="L94" i="9"/>
  <c r="L86" i="9"/>
  <c r="L92" i="9"/>
  <c r="L37" i="9"/>
  <c r="L39" i="9"/>
  <c r="L40" i="9"/>
  <c r="L46" i="9"/>
  <c r="L45" i="9"/>
  <c r="L44" i="9"/>
  <c r="L43" i="9"/>
  <c r="L42" i="9"/>
  <c r="L41" i="9"/>
  <c r="L101" i="9"/>
  <c r="L87" i="9"/>
  <c r="L85" i="9"/>
  <c r="L57" i="9"/>
  <c r="L96" i="9"/>
  <c r="L121" i="9"/>
  <c r="L62" i="9"/>
  <c r="L66" i="9"/>
  <c r="L95" i="9"/>
  <c r="L89" i="9"/>
  <c r="L80" i="9"/>
  <c r="L79" i="9"/>
  <c r="L82" i="9"/>
  <c r="L83" i="9"/>
  <c r="L93" i="9"/>
  <c r="L98" i="9"/>
  <c r="L120" i="9"/>
  <c r="L100" i="9"/>
  <c r="L91" i="9"/>
  <c r="L64" i="9"/>
  <c r="L61" i="9"/>
  <c r="L63" i="9"/>
  <c r="L60" i="9"/>
  <c r="L65" i="9"/>
  <c r="L59" i="9"/>
  <c r="I46" i="37"/>
  <c r="H21" i="10"/>
  <c r="H14" i="10"/>
  <c r="H56" i="10"/>
  <c r="H19" i="10"/>
  <c r="H100" i="9"/>
  <c r="H18" i="10"/>
  <c r="H17" i="10"/>
  <c r="H16" i="10"/>
  <c r="H15" i="10"/>
  <c r="I53" i="37"/>
  <c r="I49" i="37"/>
  <c r="I41" i="37"/>
  <c r="H79" i="9"/>
  <c r="H89" i="9"/>
  <c r="H120" i="9"/>
  <c r="H38" i="9"/>
  <c r="H13" i="10"/>
  <c r="H12" i="10"/>
  <c r="H11" i="10"/>
  <c r="I47" i="37"/>
  <c r="H10" i="10"/>
  <c r="H58" i="9"/>
  <c r="G56" i="10"/>
  <c r="G6" i="10"/>
  <c r="G22" i="10"/>
  <c r="H9" i="10"/>
  <c r="H24" i="10"/>
  <c r="H8" i="10"/>
  <c r="H23" i="10"/>
  <c r="H7" i="10"/>
  <c r="H64" i="9"/>
  <c r="I45" i="37"/>
  <c r="H13" i="9"/>
  <c r="H86" i="9"/>
  <c r="H22" i="10"/>
  <c r="H6" i="10"/>
  <c r="B7" i="35"/>
  <c r="B6" i="35"/>
  <c r="B8" i="35"/>
  <c r="F8" i="6"/>
  <c r="L28" i="11"/>
  <c r="I9" i="6"/>
  <c r="F11" i="6"/>
  <c r="G9" i="4"/>
  <c r="F12" i="6"/>
  <c r="G13" i="4"/>
  <c r="F7" i="6"/>
  <c r="I13" i="6"/>
  <c r="I8" i="6"/>
  <c r="I6" i="4"/>
  <c r="I10" i="4"/>
  <c r="I11" i="6"/>
  <c r="J28" i="11"/>
  <c r="G6" i="4"/>
  <c r="G10" i="4"/>
  <c r="G15" i="4" s="1"/>
  <c r="F10" i="6"/>
  <c r="U10" i="6"/>
  <c r="I12" i="6"/>
  <c r="I5" i="6"/>
  <c r="I7" i="6"/>
  <c r="C8" i="6"/>
  <c r="C25" i="11"/>
  <c r="D28" i="11"/>
  <c r="K28" i="11"/>
  <c r="C27" i="11"/>
  <c r="I28" i="11"/>
  <c r="P14" i="4"/>
  <c r="L14" i="4"/>
  <c r="L15" i="4"/>
  <c r="AF18" i="20"/>
  <c r="AO11" i="20"/>
  <c r="AK11" i="20"/>
  <c r="X11" i="20"/>
  <c r="AZ11" i="20"/>
  <c r="F28" i="11"/>
  <c r="E28" i="11"/>
  <c r="C23" i="11"/>
  <c r="M28" i="11"/>
  <c r="H28" i="11"/>
  <c r="G28" i="11"/>
  <c r="T12" i="37"/>
  <c r="E10" i="10"/>
  <c r="H39" i="9"/>
  <c r="H41" i="9"/>
  <c r="H61" i="9"/>
  <c r="H65" i="9"/>
  <c r="H43" i="9"/>
  <c r="AY17" i="20"/>
  <c r="AY16" i="20"/>
  <c r="F95" i="9"/>
  <c r="E11" i="10"/>
  <c r="H46" i="9"/>
  <c r="H40" i="9"/>
  <c r="AJ4" i="20"/>
  <c r="H60" i="9"/>
  <c r="H44" i="9"/>
  <c r="H45" i="9"/>
  <c r="H63" i="9"/>
  <c r="F119" i="3"/>
  <c r="F122" i="3"/>
  <c r="G40" i="11"/>
  <c r="G63" i="10"/>
  <c r="H66" i="9"/>
  <c r="H59" i="9"/>
  <c r="H42" i="9"/>
  <c r="H6" i="4"/>
  <c r="H97" i="9"/>
  <c r="H90" i="9"/>
  <c r="BA8" i="20"/>
  <c r="S3" i="39"/>
  <c r="O3" i="39"/>
  <c r="U3" i="39"/>
  <c r="T3" i="39"/>
  <c r="Q3" i="39"/>
  <c r="V3" i="39"/>
  <c r="AV8" i="20"/>
  <c r="O5" i="9"/>
  <c r="U8" i="6"/>
  <c r="X8" i="20"/>
  <c r="S5" i="9"/>
  <c r="F98" i="9"/>
  <c r="G18" i="39"/>
  <c r="D40" i="11"/>
  <c r="M4" i="6"/>
  <c r="T11" i="37"/>
  <c r="G16" i="39"/>
  <c r="F58" i="10"/>
  <c r="Q5" i="9"/>
  <c r="H8" i="20"/>
  <c r="D76" i="3"/>
  <c r="S4" i="4" s="1"/>
  <c r="Y4" i="4" s="1"/>
  <c r="H81" i="9"/>
  <c r="X4" i="10"/>
  <c r="Z4" i="10"/>
  <c r="H61" i="10"/>
  <c r="E14" i="10"/>
  <c r="H57" i="10"/>
  <c r="F80" i="9"/>
  <c r="H62" i="10"/>
  <c r="F85" i="9"/>
  <c r="G5" i="9"/>
  <c r="Y8" i="20"/>
  <c r="H65" i="10"/>
  <c r="H60" i="10"/>
  <c r="V8" i="20"/>
  <c r="X5" i="9"/>
  <c r="E53" i="29"/>
  <c r="G17" i="39"/>
  <c r="G15" i="39"/>
  <c r="D40" i="37"/>
  <c r="V4" i="37"/>
  <c r="V18" i="37"/>
  <c r="V25" i="37"/>
  <c r="V7" i="37"/>
  <c r="V21" i="37"/>
  <c r="V17" i="37"/>
  <c r="V27" i="37"/>
  <c r="V23" i="37"/>
  <c r="V26" i="37"/>
  <c r="V8" i="37"/>
  <c r="V13" i="37"/>
  <c r="V16" i="37"/>
  <c r="AM8" i="20"/>
  <c r="AJ8" i="20"/>
  <c r="E8" i="10"/>
  <c r="Q11" i="39"/>
  <c r="V11" i="39"/>
  <c r="T11" i="39"/>
  <c r="S11" i="39"/>
  <c r="O11" i="39"/>
  <c r="U11" i="39"/>
  <c r="E13" i="10"/>
  <c r="D83" i="3"/>
  <c r="S11" i="4" s="1"/>
  <c r="Y11" i="4" s="1"/>
  <c r="Q21" i="39"/>
  <c r="V21" i="39"/>
  <c r="O21" i="39"/>
  <c r="U21" i="39"/>
  <c r="T21" i="39"/>
  <c r="S21" i="39"/>
  <c r="H9" i="4"/>
  <c r="R9" i="6"/>
  <c r="U9" i="6" s="1"/>
  <c r="H59" i="10"/>
  <c r="G94" i="9"/>
  <c r="P5" i="9"/>
  <c r="E23" i="10"/>
  <c r="Q20" i="39"/>
  <c r="V20" i="39"/>
  <c r="T20" i="39"/>
  <c r="O20" i="39"/>
  <c r="U20" i="39"/>
  <c r="S20" i="39"/>
  <c r="R11" i="6"/>
  <c r="U5" i="9"/>
  <c r="F108" i="3"/>
  <c r="S6" i="6"/>
  <c r="F93" i="9"/>
  <c r="G97" i="9"/>
  <c r="G82" i="9"/>
  <c r="I4" i="10"/>
  <c r="L5" i="9"/>
  <c r="E9" i="10"/>
  <c r="F57" i="10"/>
  <c r="T5" i="9"/>
  <c r="Y4" i="10"/>
  <c r="M8" i="20"/>
  <c r="AO8" i="20"/>
  <c r="N4" i="10"/>
  <c r="E15" i="9"/>
  <c r="M7" i="11"/>
  <c r="M36" i="11"/>
  <c r="F87" i="9"/>
  <c r="F8" i="20"/>
  <c r="G4" i="10"/>
  <c r="G64" i="10"/>
  <c r="H95" i="9"/>
  <c r="G96" i="9"/>
  <c r="G91" i="9"/>
  <c r="AH8" i="20"/>
  <c r="E7" i="10"/>
  <c r="F63" i="10"/>
  <c r="H63" i="10"/>
  <c r="AZ8" i="20"/>
  <c r="F107" i="3"/>
  <c r="S5" i="6"/>
  <c r="AP17" i="20"/>
  <c r="AP16" i="20" s="1"/>
  <c r="N17" i="20"/>
  <c r="N16" i="20" s="1"/>
  <c r="H13" i="4"/>
  <c r="R13" i="6"/>
  <c r="U13" i="6"/>
  <c r="E14" i="9"/>
  <c r="L7" i="11"/>
  <c r="L36" i="11"/>
  <c r="F83" i="9"/>
  <c r="F82" i="9"/>
  <c r="H12" i="4"/>
  <c r="R12" i="6"/>
  <c r="U12" i="6" s="1"/>
  <c r="G58" i="10"/>
  <c r="H58" i="10"/>
  <c r="O14" i="39"/>
  <c r="U14" i="39"/>
  <c r="S14" i="39"/>
  <c r="T14" i="39"/>
  <c r="Q14" i="39"/>
  <c r="V14" i="39"/>
  <c r="G84" i="9"/>
  <c r="G85" i="9"/>
  <c r="AR8" i="20"/>
  <c r="P8" i="20"/>
  <c r="Q4" i="10"/>
  <c r="W8" i="20"/>
  <c r="U4" i="10"/>
  <c r="E6" i="10"/>
  <c r="N4" i="20"/>
  <c r="AP4" i="20"/>
  <c r="E12" i="9"/>
  <c r="J7" i="11"/>
  <c r="J36" i="11"/>
  <c r="V15" i="37"/>
  <c r="G80" i="9"/>
  <c r="AY8" i="20"/>
  <c r="AG8" i="20"/>
  <c r="E8" i="20"/>
  <c r="F4" i="10"/>
  <c r="E5" i="10"/>
  <c r="F64" i="10"/>
  <c r="D77" i="3"/>
  <c r="S5" i="4" s="1"/>
  <c r="H11" i="4"/>
  <c r="J4" i="10"/>
  <c r="AK8" i="20"/>
  <c r="I8" i="20"/>
  <c r="E11" i="9"/>
  <c r="I7" i="11"/>
  <c r="I36" i="11"/>
  <c r="F94" i="9"/>
  <c r="V5" i="9"/>
  <c r="E24" i="10"/>
  <c r="F60" i="10"/>
  <c r="AU8" i="20"/>
  <c r="T4" i="10"/>
  <c r="S8" i="20"/>
  <c r="E10" i="9"/>
  <c r="H7" i="11"/>
  <c r="H36" i="11"/>
  <c r="E13" i="9"/>
  <c r="K7" i="11"/>
  <c r="K36" i="11"/>
  <c r="F88" i="9"/>
  <c r="Y5" i="9"/>
  <c r="W17" i="20"/>
  <c r="W16" i="20"/>
  <c r="E22" i="10"/>
  <c r="F61" i="10"/>
  <c r="D85" i="3"/>
  <c r="S13" i="4" s="1"/>
  <c r="Y13" i="4" s="1"/>
  <c r="E9" i="9"/>
  <c r="G7" i="11"/>
  <c r="G36" i="11"/>
  <c r="F81" i="9"/>
  <c r="G61" i="10"/>
  <c r="W4" i="10"/>
  <c r="E21" i="10"/>
  <c r="J12" i="11"/>
  <c r="L4" i="10"/>
  <c r="K8" i="20"/>
  <c r="M2" i="29"/>
  <c r="E41" i="29"/>
  <c r="E8" i="9"/>
  <c r="F7" i="11"/>
  <c r="F36" i="11"/>
  <c r="F96" i="9"/>
  <c r="V9" i="37"/>
  <c r="I5" i="9"/>
  <c r="F113" i="3"/>
  <c r="AP8" i="20"/>
  <c r="G60" i="10"/>
  <c r="AI8" i="20"/>
  <c r="K5" i="9"/>
  <c r="AX8" i="20"/>
  <c r="E20" i="10"/>
  <c r="I12" i="11"/>
  <c r="F59" i="10"/>
  <c r="AG17" i="20"/>
  <c r="W5" i="9"/>
  <c r="E7" i="9"/>
  <c r="E7" i="11"/>
  <c r="E36" i="11"/>
  <c r="F91" i="9"/>
  <c r="V14" i="37"/>
  <c r="AW8" i="20"/>
  <c r="V4" i="10"/>
  <c r="U8" i="20"/>
  <c r="H93" i="9"/>
  <c r="H85" i="9"/>
  <c r="G8" i="20"/>
  <c r="S8" i="39"/>
  <c r="Q8" i="39"/>
  <c r="V8" i="39"/>
  <c r="O8" i="39"/>
  <c r="U8" i="39"/>
  <c r="T8" i="39"/>
  <c r="G90" i="9"/>
  <c r="R5" i="9"/>
  <c r="E18" i="10"/>
  <c r="F62" i="10"/>
  <c r="K17" i="20"/>
  <c r="K16" i="20"/>
  <c r="AM17" i="20"/>
  <c r="AM16" i="20" s="1"/>
  <c r="E6" i="9"/>
  <c r="F5" i="9"/>
  <c r="V19" i="37"/>
  <c r="H96" i="9"/>
  <c r="G65" i="10"/>
  <c r="H92" i="9"/>
  <c r="H91" i="9"/>
  <c r="G81" i="9"/>
  <c r="N8" i="20"/>
  <c r="O4" i="10"/>
  <c r="R4" i="10"/>
  <c r="AS8" i="20"/>
  <c r="Q8" i="20"/>
  <c r="E17" i="10"/>
  <c r="F65" i="10"/>
  <c r="AL8" i="20"/>
  <c r="K4" i="10"/>
  <c r="J8" i="20"/>
  <c r="K4" i="20"/>
  <c r="Q4" i="20"/>
  <c r="AM4" i="20"/>
  <c r="S12" i="6"/>
  <c r="F114" i="3"/>
  <c r="V24" i="37"/>
  <c r="V6" i="37"/>
  <c r="G62" i="10"/>
  <c r="H82" i="9"/>
  <c r="T20" i="37"/>
  <c r="H83" i="9"/>
  <c r="H88" i="9"/>
  <c r="G88" i="9"/>
  <c r="V11" i="37"/>
  <c r="F90" i="9"/>
  <c r="Z5" i="9"/>
  <c r="G98" i="9"/>
  <c r="G59" i="10"/>
  <c r="H98" i="9"/>
  <c r="H87" i="9"/>
  <c r="H94" i="9"/>
  <c r="M5" i="9"/>
  <c r="H4" i="10"/>
  <c r="E16" i="10"/>
  <c r="U7" i="6"/>
  <c r="H84" i="9"/>
  <c r="H64" i="10"/>
  <c r="G86" i="9"/>
  <c r="G93" i="9"/>
  <c r="AT8" i="20"/>
  <c r="R8" i="20"/>
  <c r="S4" i="10"/>
  <c r="E19" i="10"/>
  <c r="AN8" i="20"/>
  <c r="L8" i="20"/>
  <c r="M4" i="10"/>
  <c r="F111" i="3"/>
  <c r="S9" i="6"/>
  <c r="AS4" i="20"/>
  <c r="D80" i="3"/>
  <c r="S8" i="4" s="1"/>
  <c r="Y8" i="4" s="1"/>
  <c r="D78" i="3"/>
  <c r="S6" i="4" s="1"/>
  <c r="Y6" i="4" s="1"/>
  <c r="V10" i="37"/>
  <c r="F84" i="9"/>
  <c r="H5" i="9"/>
  <c r="J5" i="9"/>
  <c r="H80" i="9"/>
  <c r="G87" i="9"/>
  <c r="E12" i="10"/>
  <c r="V12" i="37"/>
  <c r="T10" i="6"/>
  <c r="F92" i="9"/>
  <c r="V5" i="37"/>
  <c r="G83" i="9"/>
  <c r="G57" i="10"/>
  <c r="N5" i="9"/>
  <c r="G92" i="9"/>
  <c r="G95" i="9"/>
  <c r="T8" i="20"/>
  <c r="AQ8" i="20"/>
  <c r="P4" i="10"/>
  <c r="O8" i="20"/>
  <c r="E15" i="10"/>
  <c r="D82" i="3"/>
  <c r="S10" i="4" s="1"/>
  <c r="Y10" i="4" s="1"/>
  <c r="E10" i="2" s="1"/>
  <c r="F97" i="9"/>
  <c r="F86" i="9"/>
  <c r="F115" i="3"/>
  <c r="I15" i="4"/>
  <c r="I14" i="6"/>
  <c r="C28" i="11"/>
  <c r="I1" i="37"/>
  <c r="C40" i="11"/>
  <c r="K12" i="11"/>
  <c r="K41" i="11"/>
  <c r="L12" i="11"/>
  <c r="M12" i="11"/>
  <c r="M41" i="11"/>
  <c r="M14" i="6"/>
  <c r="N4" i="6"/>
  <c r="M15" i="6"/>
  <c r="T12" i="6"/>
  <c r="J41" i="11"/>
  <c r="I41" i="11"/>
  <c r="G12" i="11"/>
  <c r="G6" i="39"/>
  <c r="E4" i="10"/>
  <c r="D12" i="11"/>
  <c r="F12" i="11"/>
  <c r="D8" i="20"/>
  <c r="AF8" i="20"/>
  <c r="T9" i="6"/>
  <c r="E12" i="11"/>
  <c r="L41" i="11"/>
  <c r="D7" i="11"/>
  <c r="G7" i="39"/>
  <c r="E5" i="9"/>
  <c r="H12" i="11"/>
  <c r="H41" i="11"/>
  <c r="Q16" i="39"/>
  <c r="V16" i="39"/>
  <c r="N15" i="6"/>
  <c r="N14" i="6"/>
  <c r="C6" i="39"/>
  <c r="E41" i="11"/>
  <c r="G41" i="11"/>
  <c r="S7" i="39"/>
  <c r="Q7" i="39"/>
  <c r="V7" i="39"/>
  <c r="O7" i="39"/>
  <c r="U7" i="39"/>
  <c r="T7" i="39"/>
  <c r="F41" i="11"/>
  <c r="C7" i="11"/>
  <c r="D36" i="11"/>
  <c r="C36" i="11"/>
  <c r="C12" i="11"/>
  <c r="D41" i="11"/>
  <c r="O6" i="39"/>
  <c r="U6" i="39"/>
  <c r="S6" i="39"/>
  <c r="Q6" i="39"/>
  <c r="V6" i="39"/>
  <c r="T6" i="39"/>
  <c r="T18" i="39"/>
  <c r="O18" i="39"/>
  <c r="U18" i="39"/>
  <c r="S18" i="39"/>
  <c r="Q18" i="39"/>
  <c r="V18" i="39"/>
  <c r="T16" i="39"/>
  <c r="S16" i="39"/>
  <c r="O16" i="39"/>
  <c r="U16" i="39"/>
  <c r="C41" i="11"/>
  <c r="G58" i="9"/>
  <c r="G38" i="9"/>
  <c r="G101" i="9"/>
  <c r="G121" i="9"/>
  <c r="H121" i="9"/>
  <c r="H101" i="9"/>
  <c r="F101" i="9"/>
  <c r="F121" i="9"/>
  <c r="S17" i="39"/>
  <c r="T17" i="39"/>
  <c r="O17" i="39"/>
  <c r="U17" i="39"/>
  <c r="Q17" i="39"/>
  <c r="V17" i="39"/>
  <c r="Q15" i="39"/>
  <c r="T15" i="39"/>
  <c r="O15" i="39"/>
  <c r="S15" i="39"/>
  <c r="V15" i="39"/>
  <c r="U15" i="39"/>
  <c r="BB95" i="3" l="1"/>
  <c r="BB93" i="3"/>
  <c r="BB89" i="3"/>
  <c r="D81" i="3"/>
  <c r="S9" i="4" s="1"/>
  <c r="Y9" i="4" s="1"/>
  <c r="E9" i="2" s="1"/>
  <c r="D84" i="3"/>
  <c r="S12" i="4" s="1"/>
  <c r="Y12" i="4" s="1"/>
  <c r="E12" i="2" s="1"/>
  <c r="F44" i="3"/>
  <c r="D95" i="3"/>
  <c r="L95" i="3"/>
  <c r="I88" i="3"/>
  <c r="F47" i="3"/>
  <c r="BH91" i="3"/>
  <c r="BB94" i="3"/>
  <c r="BB90" i="3"/>
  <c r="F52" i="3"/>
  <c r="AV90" i="3"/>
  <c r="AJ94" i="3"/>
  <c r="F54" i="3"/>
  <c r="BK95" i="3"/>
  <c r="AP95" i="3"/>
  <c r="I95" i="3"/>
  <c r="I91" i="3"/>
  <c r="F91" i="3" s="1"/>
  <c r="F94" i="3"/>
  <c r="AS93" i="3"/>
  <c r="AS88" i="3"/>
  <c r="F42" i="3"/>
  <c r="AJ89" i="3"/>
  <c r="F89" i="3" s="1"/>
  <c r="F43" i="3"/>
  <c r="F41" i="3"/>
  <c r="F40" i="3"/>
  <c r="F39" i="3"/>
  <c r="F38" i="3"/>
  <c r="F37" i="3"/>
  <c r="F90" i="3"/>
  <c r="BH88" i="3"/>
  <c r="D79" i="3"/>
  <c r="S7" i="4" s="1"/>
  <c r="F87" i="3"/>
  <c r="F124" i="3"/>
  <c r="E106" i="3"/>
  <c r="S4" i="6" s="1"/>
  <c r="S14" i="6" s="1"/>
  <c r="F93" i="3"/>
  <c r="F92" i="3"/>
  <c r="S8" i="6"/>
  <c r="T8" i="6" s="1"/>
  <c r="F110" i="3"/>
  <c r="F116" i="3"/>
  <c r="AV17" i="20"/>
  <c r="AV16" i="20" s="1"/>
  <c r="T17" i="20"/>
  <c r="T16" i="20" s="1"/>
  <c r="T4" i="20"/>
  <c r="AV4" i="20"/>
  <c r="F109" i="3"/>
  <c r="S7" i="6"/>
  <c r="F117" i="3"/>
  <c r="AS17" i="20"/>
  <c r="AS16" i="20" s="1"/>
  <c r="Q17" i="20"/>
  <c r="Q16" i="20" s="1"/>
  <c r="F121" i="3"/>
  <c r="T13" i="6"/>
  <c r="T6" i="6"/>
  <c r="H15" i="4"/>
  <c r="F123" i="3"/>
  <c r="E125" i="3"/>
  <c r="D13" i="4" s="1"/>
  <c r="D14" i="4" s="1"/>
  <c r="AI17" i="20"/>
  <c r="AI16" i="20" s="1"/>
  <c r="G17" i="20"/>
  <c r="G16" i="20" s="1"/>
  <c r="L125" i="3"/>
  <c r="F86" i="3"/>
  <c r="T5" i="6"/>
  <c r="T11" i="6"/>
  <c r="E7" i="4"/>
  <c r="V7" i="4"/>
  <c r="W5" i="4"/>
  <c r="E11" i="4"/>
  <c r="W11" i="4"/>
  <c r="X11" i="4" s="1"/>
  <c r="E8" i="4"/>
  <c r="W8" i="4"/>
  <c r="X8" i="4" s="1"/>
  <c r="F48" i="3"/>
  <c r="F53" i="3"/>
  <c r="F49" i="3"/>
  <c r="F51" i="3"/>
  <c r="BD130" i="3"/>
  <c r="BE130" i="3" s="1"/>
  <c r="H132" i="3"/>
  <c r="AX133" i="3"/>
  <c r="AY133" i="3" s="1"/>
  <c r="AO129" i="3"/>
  <c r="AP129" i="3" s="1"/>
  <c r="BA134" i="3"/>
  <c r="BB134" i="3" s="1"/>
  <c r="AR134" i="3"/>
  <c r="AS134" i="3" s="1"/>
  <c r="AR135" i="3"/>
  <c r="AS135" i="3" s="1"/>
  <c r="BJ135" i="3"/>
  <c r="AX132" i="3"/>
  <c r="AY132" i="3" s="1"/>
  <c r="Q127" i="3"/>
  <c r="R127" i="3" s="1"/>
  <c r="BM131" i="3"/>
  <c r="BP135" i="3"/>
  <c r="AO134" i="3"/>
  <c r="AP134" i="3" s="1"/>
  <c r="BP134" i="3"/>
  <c r="AF128" i="3"/>
  <c r="AG128" i="3" s="1"/>
  <c r="N128" i="3"/>
  <c r="O128" i="3" s="1"/>
  <c r="Q132" i="3"/>
  <c r="R132" i="3" s="1"/>
  <c r="BP128" i="3"/>
  <c r="AR126" i="3"/>
  <c r="AS126" i="3" s="1"/>
  <c r="AX128" i="3"/>
  <c r="AY128" i="3" s="1"/>
  <c r="Q130" i="3"/>
  <c r="R130" i="3" s="1"/>
  <c r="BM132" i="3"/>
  <c r="AI135" i="3"/>
  <c r="AJ135" i="3" s="1"/>
  <c r="W127" i="3"/>
  <c r="X127" i="3" s="1"/>
  <c r="BG126" i="3"/>
  <c r="BH126" i="3" s="1"/>
  <c r="T126" i="3"/>
  <c r="U126" i="3" s="1"/>
  <c r="AU130" i="3"/>
  <c r="AV130" i="3" s="1"/>
  <c r="BJ126" i="3"/>
  <c r="AI128" i="3"/>
  <c r="AJ128" i="3" s="1"/>
  <c r="BG127" i="3"/>
  <c r="BH127" i="3" s="1"/>
  <c r="T129" i="3"/>
  <c r="U129" i="3" s="1"/>
  <c r="BJ133" i="3"/>
  <c r="BM128" i="3"/>
  <c r="BJ131" i="3"/>
  <c r="BD129" i="3"/>
  <c r="BE129" i="3" s="1"/>
  <c r="AO128" i="3"/>
  <c r="AP128" i="3" s="1"/>
  <c r="W134" i="3"/>
  <c r="X134" i="3" s="1"/>
  <c r="AO135" i="3"/>
  <c r="AP135" i="3" s="1"/>
  <c r="BG134" i="3"/>
  <c r="BH134" i="3" s="1"/>
  <c r="AO132" i="3"/>
  <c r="AP132" i="3" s="1"/>
  <c r="Z127" i="3"/>
  <c r="AA127" i="3" s="1"/>
  <c r="AI134" i="3"/>
  <c r="AJ134" i="3" s="1"/>
  <c r="AU127" i="3"/>
  <c r="AV127" i="3" s="1"/>
  <c r="Z134" i="3"/>
  <c r="AA134" i="3" s="1"/>
  <c r="AC129" i="3"/>
  <c r="AD129" i="3" s="1"/>
  <c r="AL131" i="3"/>
  <c r="AM131" i="3" s="1"/>
  <c r="AX127" i="3"/>
  <c r="AY127" i="3" s="1"/>
  <c r="AI129" i="3"/>
  <c r="AJ129" i="3" s="1"/>
  <c r="BM129" i="3"/>
  <c r="Z135" i="3"/>
  <c r="AA135" i="3" s="1"/>
  <c r="BA126" i="3"/>
  <c r="BB126" i="3" s="1"/>
  <c r="BD133" i="3"/>
  <c r="BE133" i="3" s="1"/>
  <c r="N130" i="3"/>
  <c r="O130" i="3" s="1"/>
  <c r="BG130" i="3"/>
  <c r="BH130" i="3" s="1"/>
  <c r="Q133" i="3"/>
  <c r="R133" i="3" s="1"/>
  <c r="AC135" i="3"/>
  <c r="AD135" i="3" s="1"/>
  <c r="AO133" i="3"/>
  <c r="AP133" i="3" s="1"/>
  <c r="AI133" i="3"/>
  <c r="AJ133" i="3" s="1"/>
  <c r="Z130" i="3"/>
  <c r="AA130" i="3" s="1"/>
  <c r="AU128" i="3"/>
  <c r="AV128" i="3" s="1"/>
  <c r="BA129" i="3"/>
  <c r="BB129" i="3" s="1"/>
  <c r="AR129" i="3"/>
  <c r="AS129" i="3" s="1"/>
  <c r="BP129" i="3"/>
  <c r="AR127" i="3"/>
  <c r="AS127" i="3" s="1"/>
  <c r="BA131" i="3"/>
  <c r="BB131" i="3" s="1"/>
  <c r="BJ128" i="3"/>
  <c r="BD132" i="3"/>
  <c r="BE132" i="3" s="1"/>
  <c r="N133" i="3"/>
  <c r="O133" i="3" s="1"/>
  <c r="BM135" i="3"/>
  <c r="T132" i="3"/>
  <c r="U132" i="3" s="1"/>
  <c r="H129" i="3"/>
  <c r="AF130" i="3"/>
  <c r="AG130" i="3" s="1"/>
  <c r="N135" i="3"/>
  <c r="O135" i="3" s="1"/>
  <c r="AI132" i="3"/>
  <c r="AJ132" i="3" s="1"/>
  <c r="BP132" i="3"/>
  <c r="T127" i="3"/>
  <c r="U127" i="3" s="1"/>
  <c r="AR128" i="3"/>
  <c r="AS128" i="3" s="1"/>
  <c r="N127" i="3"/>
  <c r="O127" i="3" s="1"/>
  <c r="AL133" i="3"/>
  <c r="AM133" i="3" s="1"/>
  <c r="AU131" i="3"/>
  <c r="AV131" i="3" s="1"/>
  <c r="BP130" i="3"/>
  <c r="BP126" i="3"/>
  <c r="AL126" i="3"/>
  <c r="AM126" i="3" s="1"/>
  <c r="AF135" i="3"/>
  <c r="AG135" i="3" s="1"/>
  <c r="W131" i="3"/>
  <c r="X131" i="3" s="1"/>
  <c r="H126" i="3"/>
  <c r="BG131" i="3"/>
  <c r="BH131" i="3" s="1"/>
  <c r="Q134" i="3"/>
  <c r="R134" i="3" s="1"/>
  <c r="BA133" i="3"/>
  <c r="BB133" i="3" s="1"/>
  <c r="BJ130" i="3"/>
  <c r="BD134" i="3"/>
  <c r="BE134" i="3" s="1"/>
  <c r="AU129" i="3"/>
  <c r="AV129" i="3" s="1"/>
  <c r="BP131" i="3"/>
  <c r="AX134" i="3"/>
  <c r="AY134" i="3" s="1"/>
  <c r="BM127" i="3"/>
  <c r="BA128" i="3"/>
  <c r="BB128" i="3" s="1"/>
  <c r="BG133" i="3"/>
  <c r="BH133" i="3" s="1"/>
  <c r="Z129" i="3"/>
  <c r="AA129" i="3" s="1"/>
  <c r="H130" i="3"/>
  <c r="W129" i="3"/>
  <c r="X129" i="3" s="1"/>
  <c r="H131" i="3"/>
  <c r="T130" i="3"/>
  <c r="U130" i="3" s="1"/>
  <c r="AU134" i="3"/>
  <c r="AV134" i="3" s="1"/>
  <c r="BA130" i="3"/>
  <c r="BB130" i="3" s="1"/>
  <c r="BG132" i="3"/>
  <c r="BH132" i="3" s="1"/>
  <c r="BG129" i="3"/>
  <c r="BH129" i="3" s="1"/>
  <c r="W130" i="3"/>
  <c r="X130" i="3" s="1"/>
  <c r="H135" i="3"/>
  <c r="AC126" i="3"/>
  <c r="AD126" i="3" s="1"/>
  <c r="AO130" i="3"/>
  <c r="AP130" i="3" s="1"/>
  <c r="W133" i="3"/>
  <c r="X133" i="3" s="1"/>
  <c r="T131" i="3"/>
  <c r="U131" i="3" s="1"/>
  <c r="AU126" i="3"/>
  <c r="AV126" i="3" s="1"/>
  <c r="N132" i="3"/>
  <c r="O132" i="3" s="1"/>
  <c r="H128" i="3"/>
  <c r="N129" i="3"/>
  <c r="O129" i="3" s="1"/>
  <c r="K135" i="3"/>
  <c r="L135" i="3" s="1"/>
  <c r="K133" i="3"/>
  <c r="L133" i="3" s="1"/>
  <c r="K131" i="3"/>
  <c r="L131" i="3" s="1"/>
  <c r="K134" i="3"/>
  <c r="L134" i="3" s="1"/>
  <c r="K130" i="3"/>
  <c r="L130" i="3" s="1"/>
  <c r="K126" i="3"/>
  <c r="L126" i="3" s="1"/>
  <c r="K129" i="3"/>
  <c r="L129" i="3" s="1"/>
  <c r="K132" i="3"/>
  <c r="L132" i="3" s="1"/>
  <c r="K128" i="3"/>
  <c r="L128" i="3" s="1"/>
  <c r="E17" i="20"/>
  <c r="V13" i="4"/>
  <c r="H14" i="4"/>
  <c r="V12" i="4"/>
  <c r="E12" i="4"/>
  <c r="E16" i="20"/>
  <c r="AG16" i="20"/>
  <c r="E10" i="4"/>
  <c r="V10" i="4"/>
  <c r="V9" i="4"/>
  <c r="E9" i="4"/>
  <c r="U6" i="6"/>
  <c r="E6" i="2" s="1"/>
  <c r="E6" i="4"/>
  <c r="V6" i="4"/>
  <c r="E5" i="4"/>
  <c r="V5" i="4"/>
  <c r="Y5" i="4"/>
  <c r="D106" i="3"/>
  <c r="I106" i="3"/>
  <c r="E4" i="4"/>
  <c r="V4" i="4"/>
  <c r="C14" i="4"/>
  <c r="K127" i="3"/>
  <c r="L127" i="3" s="1"/>
  <c r="AF131" i="3"/>
  <c r="AF134" i="3"/>
  <c r="AG134" i="3" s="1"/>
  <c r="AR130" i="3"/>
  <c r="H127" i="3"/>
  <c r="AL134" i="3"/>
  <c r="AM134" i="3" s="1"/>
  <c r="T128" i="3"/>
  <c r="BJ134" i="3"/>
  <c r="AC133" i="3"/>
  <c r="Z132" i="3"/>
  <c r="H134" i="3"/>
  <c r="AO126" i="3"/>
  <c r="AO131" i="3"/>
  <c r="AP131" i="3" s="1"/>
  <c r="W128" i="3"/>
  <c r="X128" i="3" s="1"/>
  <c r="Q135" i="3"/>
  <c r="BD131" i="3"/>
  <c r="BE131" i="3" s="1"/>
  <c r="BM126" i="3"/>
  <c r="AU132" i="3"/>
  <c r="AV132" i="3" s="1"/>
  <c r="AL127" i="3"/>
  <c r="AM127" i="3" s="1"/>
  <c r="BJ129" i="3"/>
  <c r="AL132" i="3"/>
  <c r="AM132" i="3" s="1"/>
  <c r="AF126" i="3"/>
  <c r="AG126" i="3" s="1"/>
  <c r="Z128" i="3"/>
  <c r="AA128" i="3" s="1"/>
  <c r="AX130" i="3"/>
  <c r="AY130" i="3" s="1"/>
  <c r="AF133" i="3"/>
  <c r="AG133" i="3" s="1"/>
  <c r="T134" i="3"/>
  <c r="U134" i="3" s="1"/>
  <c r="AU133" i="3"/>
  <c r="AV133" i="3" s="1"/>
  <c r="AI127" i="3"/>
  <c r="AJ127" i="3" s="1"/>
  <c r="AX129" i="3"/>
  <c r="AY129" i="3" s="1"/>
  <c r="W126" i="3"/>
  <c r="X126" i="3" s="1"/>
  <c r="BM133" i="3"/>
  <c r="AR133" i="3"/>
  <c r="AS133" i="3" s="1"/>
  <c r="AR132" i="3"/>
  <c r="AS132" i="3" s="1"/>
  <c r="W135" i="3"/>
  <c r="X135" i="3" s="1"/>
  <c r="AX131" i="3"/>
  <c r="AY131" i="3" s="1"/>
  <c r="BP127" i="3"/>
  <c r="BP133" i="3"/>
  <c r="AX135" i="3"/>
  <c r="AY135" i="3" s="1"/>
  <c r="AI131" i="3"/>
  <c r="AJ131" i="3" s="1"/>
  <c r="AO127" i="3"/>
  <c r="AP127" i="3" s="1"/>
  <c r="AL129" i="3"/>
  <c r="AM129" i="3" s="1"/>
  <c r="N131" i="3"/>
  <c r="O131" i="3" s="1"/>
  <c r="AU135" i="3"/>
  <c r="AV135" i="3" s="1"/>
  <c r="BD127" i="3"/>
  <c r="BE127" i="3" s="1"/>
  <c r="T135" i="3"/>
  <c r="U135" i="3" s="1"/>
  <c r="AF132" i="3"/>
  <c r="AG132" i="3" s="1"/>
  <c r="BD135" i="3"/>
  <c r="BE135" i="3" s="1"/>
  <c r="BA127" i="3"/>
  <c r="BB127" i="3" s="1"/>
  <c r="AC134" i="3"/>
  <c r="AD134" i="3" s="1"/>
  <c r="AC132" i="3"/>
  <c r="AD132" i="3" s="1"/>
  <c r="AR131" i="3"/>
  <c r="AS131" i="3" s="1"/>
  <c r="AC131" i="3"/>
  <c r="AD131" i="3" s="1"/>
  <c r="T133" i="3"/>
  <c r="U133" i="3" s="1"/>
  <c r="Q128" i="3"/>
  <c r="R128" i="3" s="1"/>
  <c r="Q131" i="3"/>
  <c r="R131" i="3" s="1"/>
  <c r="BM134" i="3"/>
  <c r="AF127" i="3"/>
  <c r="AG127" i="3" s="1"/>
  <c r="AL135" i="3"/>
  <c r="AM135" i="3" s="1"/>
  <c r="Z126" i="3"/>
  <c r="AA126" i="3" s="1"/>
  <c r="AX126" i="3"/>
  <c r="AY126" i="3" s="1"/>
  <c r="AF129" i="3"/>
  <c r="AG129" i="3" s="1"/>
  <c r="N134" i="3"/>
  <c r="O134" i="3" s="1"/>
  <c r="BG135" i="3"/>
  <c r="BH135" i="3" s="1"/>
  <c r="AI130" i="3"/>
  <c r="AJ130" i="3" s="1"/>
  <c r="BD126" i="3"/>
  <c r="BE126" i="3" s="1"/>
  <c r="H133" i="3"/>
  <c r="AC130" i="3"/>
  <c r="AD130" i="3" s="1"/>
  <c r="BJ132" i="3"/>
  <c r="Z133" i="3"/>
  <c r="AA133" i="3" s="1"/>
  <c r="BD128" i="3"/>
  <c r="BE128" i="3" s="1"/>
  <c r="Q126" i="3"/>
  <c r="R126" i="3" s="1"/>
  <c r="AL130" i="3"/>
  <c r="AM130" i="3" s="1"/>
  <c r="BA135" i="3"/>
  <c r="BB135" i="3" s="1"/>
  <c r="Q129" i="3"/>
  <c r="BJ127" i="3"/>
  <c r="BG128" i="3"/>
  <c r="BH128" i="3" s="1"/>
  <c r="AC128" i="3"/>
  <c r="AD128" i="3" s="1"/>
  <c r="AI126" i="3"/>
  <c r="AJ126" i="3" s="1"/>
  <c r="BM130" i="3"/>
  <c r="W132" i="3"/>
  <c r="X132" i="3" s="1"/>
  <c r="Z131" i="3"/>
  <c r="AA131" i="3" s="1"/>
  <c r="AC127" i="3"/>
  <c r="AD127" i="3" s="1"/>
  <c r="N126" i="3"/>
  <c r="O126" i="3" s="1"/>
  <c r="BA132" i="3"/>
  <c r="BB132" i="3" s="1"/>
  <c r="AL128" i="3"/>
  <c r="AM128" i="3" s="1"/>
  <c r="E3" i="17"/>
  <c r="U5" i="6"/>
  <c r="E13" i="2"/>
  <c r="U11" i="6"/>
  <c r="G14" i="4"/>
  <c r="F14" i="6"/>
  <c r="C14" i="6"/>
  <c r="F14" i="4"/>
  <c r="E8" i="2"/>
  <c r="B8" i="2"/>
  <c r="AV11" i="20"/>
  <c r="K67" i="3"/>
  <c r="N71" i="3"/>
  <c r="BA69" i="3"/>
  <c r="BG74" i="3"/>
  <c r="AR70" i="3"/>
  <c r="BD69" i="3"/>
  <c r="BG75" i="3"/>
  <c r="AI66" i="3"/>
  <c r="AO69" i="3"/>
  <c r="Q66" i="3"/>
  <c r="BP74" i="3"/>
  <c r="AC70" i="3"/>
  <c r="N70" i="3"/>
  <c r="BM72" i="3"/>
  <c r="H68" i="3"/>
  <c r="BJ69" i="3"/>
  <c r="T74" i="3"/>
  <c r="AX69" i="3"/>
  <c r="W75" i="3"/>
  <c r="Z71" i="3"/>
  <c r="BG73" i="3"/>
  <c r="BP73" i="3"/>
  <c r="Z72" i="3"/>
  <c r="BM70" i="3"/>
  <c r="AU67" i="3"/>
  <c r="AU71" i="3"/>
  <c r="H73" i="3"/>
  <c r="BA66" i="3"/>
  <c r="BA72" i="3"/>
  <c r="H75" i="3"/>
  <c r="BA68" i="3"/>
  <c r="Q75" i="3"/>
  <c r="BD68" i="3"/>
  <c r="AL74" i="3"/>
  <c r="AR72" i="3"/>
  <c r="AL73" i="3"/>
  <c r="AC75" i="3"/>
  <c r="AU72" i="3"/>
  <c r="BD67" i="3"/>
  <c r="Z74" i="3"/>
  <c r="BA75" i="3"/>
  <c r="AF74" i="3"/>
  <c r="AX66" i="3"/>
  <c r="BG71" i="3"/>
  <c r="T68" i="3"/>
  <c r="AX67" i="3"/>
  <c r="T70" i="3"/>
  <c r="Q68" i="3"/>
  <c r="AL67" i="3"/>
  <c r="BJ66" i="3"/>
  <c r="AC69" i="3"/>
  <c r="AL68" i="3"/>
  <c r="BJ72" i="3"/>
  <c r="T73" i="3"/>
  <c r="AO68" i="3"/>
  <c r="BJ74" i="3"/>
  <c r="AL69" i="3"/>
  <c r="AC68" i="3"/>
  <c r="AO67" i="3"/>
  <c r="AI72" i="3"/>
  <c r="AX71" i="3"/>
  <c r="Z68" i="3"/>
  <c r="AL66" i="3"/>
  <c r="Z73" i="3"/>
  <c r="W71" i="3"/>
  <c r="BM66" i="3"/>
  <c r="AR73" i="3"/>
  <c r="H74" i="3"/>
  <c r="AF70" i="3"/>
  <c r="AO71" i="3"/>
  <c r="H67" i="3"/>
  <c r="N74" i="3"/>
  <c r="H71" i="3"/>
  <c r="AC74" i="3"/>
  <c r="AF67" i="3"/>
  <c r="W72" i="3"/>
  <c r="BG72" i="3"/>
  <c r="W68" i="3"/>
  <c r="BP72" i="3"/>
  <c r="H69" i="3"/>
  <c r="AL72" i="3"/>
  <c r="Z70" i="3"/>
  <c r="AR75" i="3"/>
  <c r="BP70" i="3"/>
  <c r="Z69" i="3"/>
  <c r="BD75" i="3"/>
  <c r="AO75" i="3"/>
  <c r="AF68" i="3"/>
  <c r="Z67" i="3"/>
  <c r="BP67" i="3"/>
  <c r="BG68" i="3"/>
  <c r="H72" i="3"/>
  <c r="N68" i="3"/>
  <c r="AX74" i="3"/>
  <c r="BD71" i="3"/>
  <c r="Q74" i="3"/>
  <c r="AX75" i="3"/>
  <c r="W73" i="3"/>
  <c r="BG70" i="3"/>
  <c r="BJ71" i="3"/>
  <c r="AI68" i="3"/>
  <c r="BM67" i="3"/>
  <c r="AI69" i="3"/>
  <c r="AI73" i="3"/>
  <c r="AL71" i="3"/>
  <c r="BG66" i="3"/>
  <c r="W66" i="3"/>
  <c r="BJ68" i="3"/>
  <c r="Z66" i="3"/>
  <c r="AX72" i="3"/>
  <c r="N73" i="3"/>
  <c r="BM73" i="3"/>
  <c r="N75" i="3"/>
  <c r="AU69" i="3"/>
  <c r="Q69" i="3"/>
  <c r="AX70" i="3"/>
  <c r="N67" i="3"/>
  <c r="AU66" i="3"/>
  <c r="BM71" i="3"/>
  <c r="AC71" i="3"/>
  <c r="AX73" i="3"/>
  <c r="BP68" i="3"/>
  <c r="Q73" i="3"/>
  <c r="AU74" i="3"/>
  <c r="AI67" i="3"/>
  <c r="BA70" i="3"/>
  <c r="BG69" i="3"/>
  <c r="H70" i="3"/>
  <c r="BD66" i="3"/>
  <c r="AF75" i="3"/>
  <c r="AC66" i="3"/>
  <c r="BD70" i="3"/>
  <c r="Q71" i="3"/>
  <c r="BA73" i="3"/>
  <c r="N69" i="3"/>
  <c r="AO70" i="3"/>
  <c r="AC72" i="3"/>
  <c r="AR74" i="3"/>
  <c r="AF72" i="3"/>
  <c r="W70" i="3"/>
  <c r="AI71" i="3"/>
  <c r="AL70" i="3"/>
  <c r="BP66" i="3"/>
  <c r="AX68" i="3"/>
  <c r="Q67" i="3"/>
  <c r="BJ75" i="3"/>
  <c r="AR67" i="3"/>
  <c r="BP75" i="3"/>
  <c r="AF71" i="3"/>
  <c r="BA71" i="3"/>
  <c r="H66" i="3"/>
  <c r="T72" i="3"/>
  <c r="BA74" i="3"/>
  <c r="BP69" i="3"/>
  <c r="AU73" i="3"/>
  <c r="AC67" i="3"/>
  <c r="BP71" i="3"/>
  <c r="T69" i="3"/>
  <c r="BJ73" i="3"/>
  <c r="AR71" i="3"/>
  <c r="BD73" i="3"/>
  <c r="AU70" i="3"/>
  <c r="T71" i="3"/>
  <c r="AF66" i="3"/>
  <c r="BM74" i="3"/>
  <c r="BJ67" i="3"/>
  <c r="AR68" i="3"/>
  <c r="AF73" i="3"/>
  <c r="N66" i="3"/>
  <c r="AR69" i="3"/>
  <c r="T67" i="3"/>
  <c r="BM69" i="3"/>
  <c r="T75" i="3"/>
  <c r="BJ70" i="3"/>
  <c r="AC73" i="3"/>
  <c r="AF69" i="3"/>
  <c r="AR66" i="3"/>
  <c r="W74" i="3"/>
  <c r="AI75" i="3"/>
  <c r="BD74" i="3"/>
  <c r="AO74" i="3"/>
  <c r="W69" i="3"/>
  <c r="AO66" i="3"/>
  <c r="Z75" i="3"/>
  <c r="BM75" i="3"/>
  <c r="Q72" i="3"/>
  <c r="BG67" i="3"/>
  <c r="Q70" i="3"/>
  <c r="BA67" i="3"/>
  <c r="BD72" i="3"/>
  <c r="AL75" i="3"/>
  <c r="T66" i="3"/>
  <c r="W67" i="3"/>
  <c r="BM68" i="3"/>
  <c r="AI70" i="3"/>
  <c r="AU75" i="3"/>
  <c r="AO73" i="3"/>
  <c r="AO72" i="3"/>
  <c r="AI74" i="3"/>
  <c r="AU68" i="3"/>
  <c r="N72" i="3"/>
  <c r="K74" i="3"/>
  <c r="K71" i="3"/>
  <c r="K70" i="3"/>
  <c r="K69" i="3"/>
  <c r="K68" i="3"/>
  <c r="K75" i="3"/>
  <c r="K73" i="3"/>
  <c r="K72" i="3"/>
  <c r="K66" i="3"/>
  <c r="AS7" i="20"/>
  <c r="I78" i="9"/>
  <c r="V11" i="20"/>
  <c r="I12" i="20"/>
  <c r="L55" i="10"/>
  <c r="AU11" i="20"/>
  <c r="AU7" i="20"/>
  <c r="R12" i="20"/>
  <c r="Y78" i="9"/>
  <c r="X7" i="20"/>
  <c r="E90" i="9"/>
  <c r="E97" i="9"/>
  <c r="E86" i="9"/>
  <c r="H7" i="20"/>
  <c r="AJ7" i="20"/>
  <c r="X78" i="9"/>
  <c r="AY11" i="20"/>
  <c r="W11" i="20"/>
  <c r="AX7" i="20"/>
  <c r="V7" i="20"/>
  <c r="T11" i="20"/>
  <c r="U78" i="9"/>
  <c r="T55" i="10"/>
  <c r="S12" i="20"/>
  <c r="AN12" i="20"/>
  <c r="M55" i="10"/>
  <c r="L12" i="20"/>
  <c r="AT11" i="20"/>
  <c r="S78" i="9"/>
  <c r="R78" i="9"/>
  <c r="AS11" i="20"/>
  <c r="E65" i="10"/>
  <c r="M13" i="11" s="1"/>
  <c r="J21" i="32"/>
  <c r="J18" i="32"/>
  <c r="AK7" i="20"/>
  <c r="AL11" i="20"/>
  <c r="BA7" i="20"/>
  <c r="AX11" i="20"/>
  <c r="J14" i="32"/>
  <c r="J11" i="32"/>
  <c r="J16" i="32"/>
  <c r="J10" i="32"/>
  <c r="J9" i="32"/>
  <c r="E84" i="9"/>
  <c r="J7" i="32"/>
  <c r="J13" i="32"/>
  <c r="AZ7" i="20"/>
  <c r="J12" i="32"/>
  <c r="J20" i="32"/>
  <c r="J15" i="32"/>
  <c r="J6" i="32"/>
  <c r="R11" i="20"/>
  <c r="Q11" i="20"/>
  <c r="J19" i="32"/>
  <c r="I11" i="20"/>
  <c r="AV7" i="20"/>
  <c r="J8" i="32"/>
  <c r="AT7" i="20"/>
  <c r="AJ11" i="20"/>
  <c r="BA12" i="20"/>
  <c r="AO12" i="20"/>
  <c r="K12" i="20"/>
  <c r="K55" i="10"/>
  <c r="S11" i="20"/>
  <c r="S55" i="10"/>
  <c r="R55" i="10"/>
  <c r="AR12" i="20"/>
  <c r="K11" i="20"/>
  <c r="AU12" i="20"/>
  <c r="N55" i="10"/>
  <c r="AS12" i="20"/>
  <c r="J5" i="32"/>
  <c r="E64" i="9"/>
  <c r="M12" i="20"/>
  <c r="E60" i="9"/>
  <c r="E66" i="9"/>
  <c r="T7" i="20"/>
  <c r="AM12" i="20"/>
  <c r="E98" i="9"/>
  <c r="E83" i="9"/>
  <c r="E64" i="10"/>
  <c r="L13" i="11" s="1"/>
  <c r="E61" i="10"/>
  <c r="I13" i="11" s="1"/>
  <c r="E96" i="9"/>
  <c r="E63" i="9"/>
  <c r="E41" i="9"/>
  <c r="W78" i="9"/>
  <c r="E95" i="9"/>
  <c r="AX12" i="20"/>
  <c r="E57" i="10"/>
  <c r="E13" i="11" s="1"/>
  <c r="E92" i="9"/>
  <c r="H11" i="20"/>
  <c r="E42" i="9"/>
  <c r="E61" i="9"/>
  <c r="E40" i="9"/>
  <c r="E46" i="9"/>
  <c r="T78" i="9"/>
  <c r="Q7" i="20"/>
  <c r="Q12" i="20"/>
  <c r="E85" i="9"/>
  <c r="E93" i="9"/>
  <c r="E87" i="9"/>
  <c r="E94" i="9"/>
  <c r="E81" i="9"/>
  <c r="J78" i="9"/>
  <c r="Z99" i="9"/>
  <c r="E43" i="9"/>
  <c r="E44" i="9"/>
  <c r="E62" i="9"/>
  <c r="E65" i="9"/>
  <c r="S7" i="20"/>
  <c r="AT12" i="20"/>
  <c r="E63" i="10"/>
  <c r="K13" i="11" s="1"/>
  <c r="E80" i="9"/>
  <c r="E60" i="10"/>
  <c r="H13" i="11" s="1"/>
  <c r="E91" i="9"/>
  <c r="I7" i="20"/>
  <c r="Y7" i="20"/>
  <c r="E45" i="9"/>
  <c r="R7" i="20"/>
  <c r="E58" i="10"/>
  <c r="F13" i="11" s="1"/>
  <c r="E82" i="9"/>
  <c r="E88" i="9"/>
  <c r="E59" i="10"/>
  <c r="G13" i="11" s="1"/>
  <c r="E62" i="10"/>
  <c r="J13" i="11" s="1"/>
  <c r="W7" i="20"/>
  <c r="AY7" i="20"/>
  <c r="Z78" i="9"/>
  <c r="Y11" i="20"/>
  <c r="BA11" i="20"/>
  <c r="BA10" i="20"/>
  <c r="Y10" i="20"/>
  <c r="BA6" i="20"/>
  <c r="Y6" i="20"/>
  <c r="Z36" i="9"/>
  <c r="Z4" i="9" s="1"/>
  <c r="E79" i="9"/>
  <c r="F78" i="9"/>
  <c r="AG11" i="20"/>
  <c r="E11" i="20"/>
  <c r="AG7" i="20"/>
  <c r="E7" i="20"/>
  <c r="E89" i="9"/>
  <c r="Z55" i="10"/>
  <c r="Y12" i="20"/>
  <c r="J55" i="10"/>
  <c r="AK12" i="20"/>
  <c r="J12" i="20"/>
  <c r="AL12" i="20"/>
  <c r="AG12" i="20"/>
  <c r="F55" i="10"/>
  <c r="E12" i="20"/>
  <c r="E56" i="10"/>
  <c r="Q55" i="10"/>
  <c r="P12" i="20"/>
  <c r="O12" i="20"/>
  <c r="AQ12" i="20"/>
  <c r="P55" i="10"/>
  <c r="AL7" i="20"/>
  <c r="J7" i="20"/>
  <c r="K78" i="9"/>
  <c r="J11" i="20"/>
  <c r="N12" i="20"/>
  <c r="O55" i="10"/>
  <c r="AP12" i="20"/>
  <c r="V78" i="9"/>
  <c r="U11" i="20"/>
  <c r="AW11" i="20"/>
  <c r="U7" i="20"/>
  <c r="AW7" i="20"/>
  <c r="P7" i="20"/>
  <c r="AR7" i="20"/>
  <c r="Q78" i="9"/>
  <c r="P11" i="20"/>
  <c r="AR11" i="20"/>
  <c r="AZ12" i="20"/>
  <c r="Y55" i="10"/>
  <c r="X12" i="20"/>
  <c r="H12" i="20"/>
  <c r="AJ12" i="20"/>
  <c r="I55" i="10"/>
  <c r="O7" i="20"/>
  <c r="AQ7" i="20"/>
  <c r="P78" i="9"/>
  <c r="O11" i="20"/>
  <c r="AQ11" i="20"/>
  <c r="F11" i="20"/>
  <c r="AH11" i="20"/>
  <c r="G78" i="9"/>
  <c r="AH7" i="20"/>
  <c r="F7" i="20"/>
  <c r="W12" i="20"/>
  <c r="AY12" i="20"/>
  <c r="X55" i="10"/>
  <c r="O78" i="9"/>
  <c r="AP11" i="20"/>
  <c r="N11" i="20"/>
  <c r="AP7" i="20"/>
  <c r="N7" i="20"/>
  <c r="W55" i="10"/>
  <c r="V12" i="20"/>
  <c r="AO7" i="20"/>
  <c r="M7" i="20"/>
  <c r="M11" i="20"/>
  <c r="N78" i="9"/>
  <c r="AW12" i="20"/>
  <c r="U12" i="20"/>
  <c r="V55" i="10"/>
  <c r="L7" i="20"/>
  <c r="AN7" i="20"/>
  <c r="AN11" i="20"/>
  <c r="M78" i="9"/>
  <c r="L11" i="20"/>
  <c r="T12" i="20"/>
  <c r="U55" i="10"/>
  <c r="AV12" i="20"/>
  <c r="AM7" i="20"/>
  <c r="K7" i="20"/>
  <c r="AM11" i="20"/>
  <c r="L78" i="9"/>
  <c r="H55" i="10"/>
  <c r="G12" i="20"/>
  <c r="AI12" i="20"/>
  <c r="H78" i="9"/>
  <c r="AI11" i="20"/>
  <c r="G11" i="20"/>
  <c r="G7" i="20"/>
  <c r="AI7" i="20"/>
  <c r="AH12" i="20"/>
  <c r="G55" i="10"/>
  <c r="F12" i="20"/>
  <c r="J17" i="32"/>
  <c r="J4" i="32"/>
  <c r="J22" i="32"/>
  <c r="J3" i="32"/>
  <c r="F88" i="3" l="1"/>
  <c r="F95" i="3"/>
  <c r="Y7" i="4"/>
  <c r="S14" i="4"/>
  <c r="T7" i="6"/>
  <c r="S15" i="6"/>
  <c r="B11" i="2"/>
  <c r="E11" i="2"/>
  <c r="X6" i="4"/>
  <c r="B6" i="2"/>
  <c r="W13" i="4"/>
  <c r="X13" i="4" s="1"/>
  <c r="E13" i="4"/>
  <c r="F125" i="3"/>
  <c r="AJ17" i="20"/>
  <c r="H17" i="20"/>
  <c r="X7" i="4"/>
  <c r="B7" i="2"/>
  <c r="W14" i="4"/>
  <c r="BK128" i="3"/>
  <c r="D61" i="14"/>
  <c r="D27" i="14"/>
  <c r="I129" i="3"/>
  <c r="BQ132" i="3"/>
  <c r="D135" i="14"/>
  <c r="BQ126" i="3"/>
  <c r="D129" i="14"/>
  <c r="D24" i="14"/>
  <c r="I126" i="3"/>
  <c r="D95" i="14"/>
  <c r="BN127" i="3"/>
  <c r="D28" i="14"/>
  <c r="I130" i="3"/>
  <c r="I131" i="3"/>
  <c r="D29" i="14"/>
  <c r="D33" i="14"/>
  <c r="I135" i="3"/>
  <c r="D26" i="14"/>
  <c r="I128" i="3"/>
  <c r="D63" i="14"/>
  <c r="BK130" i="3"/>
  <c r="D30" i="14"/>
  <c r="I132" i="3"/>
  <c r="BK135" i="3"/>
  <c r="D68" i="14"/>
  <c r="D99" i="14"/>
  <c r="BN131" i="3"/>
  <c r="BQ135" i="3"/>
  <c r="D138" i="14"/>
  <c r="D137" i="14"/>
  <c r="BQ134" i="3"/>
  <c r="BQ128" i="3"/>
  <c r="D131" i="14"/>
  <c r="BN132" i="3"/>
  <c r="D100" i="14"/>
  <c r="D59" i="14"/>
  <c r="BK126" i="3"/>
  <c r="D66" i="14"/>
  <c r="BK133" i="3"/>
  <c r="BN128" i="3"/>
  <c r="D96" i="14"/>
  <c r="D64" i="14"/>
  <c r="BK131" i="3"/>
  <c r="BN129" i="3"/>
  <c r="D97" i="14"/>
  <c r="BQ129" i="3"/>
  <c r="D132" i="14"/>
  <c r="BN135" i="3"/>
  <c r="D103" i="14"/>
  <c r="BQ130" i="3"/>
  <c r="D133" i="14"/>
  <c r="D134" i="14"/>
  <c r="BQ131" i="3"/>
  <c r="B13" i="2"/>
  <c r="B12" i="2"/>
  <c r="X12" i="4"/>
  <c r="X10" i="4"/>
  <c r="B10" i="2"/>
  <c r="B9" i="2"/>
  <c r="X9" i="4"/>
  <c r="X5" i="4"/>
  <c r="B5" i="2"/>
  <c r="E5" i="2"/>
  <c r="AU23" i="20"/>
  <c r="S23" i="20"/>
  <c r="V23" i="20"/>
  <c r="AX23" i="20"/>
  <c r="AP23" i="20"/>
  <c r="N23" i="20"/>
  <c r="T23" i="20"/>
  <c r="AV23" i="20"/>
  <c r="R4" i="6"/>
  <c r="F106" i="3"/>
  <c r="AG4" i="20"/>
  <c r="AF4" i="20" s="1"/>
  <c r="E4" i="20"/>
  <c r="D4" i="20" s="1"/>
  <c r="V14" i="4"/>
  <c r="X4" i="4"/>
  <c r="E127" i="3"/>
  <c r="Q5" i="4" s="1"/>
  <c r="R5" i="4" s="1"/>
  <c r="E134" i="3"/>
  <c r="Q12" i="4" s="1"/>
  <c r="R12" i="4" s="1"/>
  <c r="R129" i="3"/>
  <c r="E129" i="3"/>
  <c r="Q7" i="4" s="1"/>
  <c r="R7" i="4" s="1"/>
  <c r="G23" i="20"/>
  <c r="AI23" i="20"/>
  <c r="D25" i="14"/>
  <c r="I127" i="3"/>
  <c r="D67" i="14"/>
  <c r="BK134" i="3"/>
  <c r="D32" i="14"/>
  <c r="I134" i="3"/>
  <c r="BN126" i="3"/>
  <c r="D94" i="14"/>
  <c r="BK129" i="3"/>
  <c r="D62" i="14"/>
  <c r="D101" i="14"/>
  <c r="BN133" i="3"/>
  <c r="BQ127" i="3"/>
  <c r="D130" i="14"/>
  <c r="BQ133" i="3"/>
  <c r="D136" i="14"/>
  <c r="D102" i="14"/>
  <c r="BN134" i="3"/>
  <c r="D31" i="14"/>
  <c r="I133" i="3"/>
  <c r="BK132" i="3"/>
  <c r="D65" i="14"/>
  <c r="D60" i="14"/>
  <c r="BK127" i="3"/>
  <c r="BN130" i="3"/>
  <c r="D98" i="14"/>
  <c r="AG131" i="3"/>
  <c r="E131" i="3"/>
  <c r="Q9" i="4" s="1"/>
  <c r="R9" i="4" s="1"/>
  <c r="AS130" i="3"/>
  <c r="E130" i="3"/>
  <c r="Q8" i="4" s="1"/>
  <c r="R8" i="4" s="1"/>
  <c r="U128" i="3"/>
  <c r="E128" i="3"/>
  <c r="Q6" i="4" s="1"/>
  <c r="R6" i="4" s="1"/>
  <c r="AD133" i="3"/>
  <c r="E133" i="3"/>
  <c r="Q11" i="4" s="1"/>
  <c r="R11" i="4" s="1"/>
  <c r="AA132" i="3"/>
  <c r="E132" i="3"/>
  <c r="Q10" i="4" s="1"/>
  <c r="R10" i="4" s="1"/>
  <c r="AP126" i="3"/>
  <c r="E126" i="3"/>
  <c r="Q4" i="4" s="1"/>
  <c r="J23" i="20"/>
  <c r="AL23" i="20"/>
  <c r="R135" i="3"/>
  <c r="E135" i="3"/>
  <c r="Q13" i="4" s="1"/>
  <c r="R13" i="4" s="1"/>
  <c r="U23" i="20"/>
  <c r="AW23" i="20"/>
  <c r="AT23" i="20"/>
  <c r="R23" i="20"/>
  <c r="AQ23" i="20"/>
  <c r="O23" i="20"/>
  <c r="K77" i="3"/>
  <c r="L77" i="3" s="1"/>
  <c r="L67" i="3"/>
  <c r="K97" i="3" s="1"/>
  <c r="BN69" i="3"/>
  <c r="BM99" i="3" s="1"/>
  <c r="BN99" i="3" s="1"/>
  <c r="BM79" i="3"/>
  <c r="BN79" i="3" s="1"/>
  <c r="E67" i="3"/>
  <c r="AM72" i="3"/>
  <c r="AL102" i="3" s="1"/>
  <c r="AM102" i="3" s="1"/>
  <c r="AL82" i="3"/>
  <c r="AM82" i="3" s="1"/>
  <c r="I72" i="3"/>
  <c r="H102" i="3" s="1"/>
  <c r="I102" i="3" s="1"/>
  <c r="H82" i="3"/>
  <c r="I82" i="3" s="1"/>
  <c r="O67" i="3"/>
  <c r="N97" i="3" s="1"/>
  <c r="O97" i="3" s="1"/>
  <c r="N77" i="3"/>
  <c r="O77" i="3" s="1"/>
  <c r="AV74" i="3"/>
  <c r="AU104" i="3" s="1"/>
  <c r="AV104" i="3" s="1"/>
  <c r="AU84" i="3"/>
  <c r="AV84" i="3" s="1"/>
  <c r="AJ67" i="3"/>
  <c r="AI97" i="3" s="1"/>
  <c r="AJ97" i="3" s="1"/>
  <c r="AI77" i="3"/>
  <c r="AJ77" i="3" s="1"/>
  <c r="AJ71" i="3"/>
  <c r="AI101" i="3" s="1"/>
  <c r="AJ101" i="3" s="1"/>
  <c r="AI81" i="3"/>
  <c r="AJ81" i="3" s="1"/>
  <c r="N81" i="3"/>
  <c r="O81" i="3" s="1"/>
  <c r="O71" i="3"/>
  <c r="N101" i="3" s="1"/>
  <c r="O101" i="3" s="1"/>
  <c r="BG84" i="3"/>
  <c r="BH84" i="3" s="1"/>
  <c r="BH74" i="3"/>
  <c r="BG104" i="3" s="1"/>
  <c r="BH104" i="3" s="1"/>
  <c r="AR80" i="3"/>
  <c r="AS80" i="3" s="1"/>
  <c r="AS70" i="3"/>
  <c r="AR100" i="3" s="1"/>
  <c r="AS100" i="3" s="1"/>
  <c r="BG85" i="3"/>
  <c r="BH85" i="3" s="1"/>
  <c r="BH75" i="3"/>
  <c r="BG105" i="3" s="1"/>
  <c r="BH105" i="3" s="1"/>
  <c r="AO79" i="3"/>
  <c r="AP79" i="3" s="1"/>
  <c r="AP69" i="3"/>
  <c r="AO99" i="3" s="1"/>
  <c r="AP99" i="3" s="1"/>
  <c r="Q76" i="3"/>
  <c r="R76" i="3" s="1"/>
  <c r="R66" i="3"/>
  <c r="Q96" i="3" s="1"/>
  <c r="R96" i="3" s="1"/>
  <c r="BP84" i="3"/>
  <c r="BQ84" i="3" s="1"/>
  <c r="BQ74" i="3"/>
  <c r="BP104" i="3" s="1"/>
  <c r="BQ104" i="3" s="1"/>
  <c r="AC80" i="3"/>
  <c r="AD80" i="3" s="1"/>
  <c r="AD70" i="3"/>
  <c r="AC100" i="3" s="1"/>
  <c r="AD100" i="3" s="1"/>
  <c r="BM82" i="3"/>
  <c r="BN82" i="3" s="1"/>
  <c r="BN72" i="3"/>
  <c r="BM102" i="3" s="1"/>
  <c r="BN102" i="3" s="1"/>
  <c r="E68" i="3"/>
  <c r="H78" i="3"/>
  <c r="I78" i="3" s="1"/>
  <c r="I68" i="3"/>
  <c r="H98" i="3" s="1"/>
  <c r="I98" i="3" s="1"/>
  <c r="BJ79" i="3"/>
  <c r="BK79" i="3" s="1"/>
  <c r="BK69" i="3"/>
  <c r="BJ99" i="3" s="1"/>
  <c r="BK99" i="3" s="1"/>
  <c r="T84" i="3"/>
  <c r="U84" i="3" s="1"/>
  <c r="U74" i="3"/>
  <c r="T104" i="3" s="1"/>
  <c r="U104" i="3" s="1"/>
  <c r="W85" i="3"/>
  <c r="X85" i="3" s="1"/>
  <c r="X75" i="3"/>
  <c r="W105" i="3" s="1"/>
  <c r="X105" i="3" s="1"/>
  <c r="BG83" i="3"/>
  <c r="BH83" i="3" s="1"/>
  <c r="BH73" i="3"/>
  <c r="BG103" i="3" s="1"/>
  <c r="BH103" i="3" s="1"/>
  <c r="BP83" i="3"/>
  <c r="BQ83" i="3" s="1"/>
  <c r="BQ73" i="3"/>
  <c r="BP103" i="3" s="1"/>
  <c r="BQ103" i="3" s="1"/>
  <c r="BM80" i="3"/>
  <c r="BN80" i="3" s="1"/>
  <c r="BN70" i="3"/>
  <c r="BM100" i="3" s="1"/>
  <c r="BN100" i="3" s="1"/>
  <c r="AU81" i="3"/>
  <c r="AV81" i="3" s="1"/>
  <c r="AV71" i="3"/>
  <c r="AU101" i="3" s="1"/>
  <c r="AV101" i="3" s="1"/>
  <c r="E73" i="3"/>
  <c r="H83" i="3"/>
  <c r="I83" i="3" s="1"/>
  <c r="I73" i="3"/>
  <c r="H103" i="3" s="1"/>
  <c r="I103" i="3" s="1"/>
  <c r="BA76" i="3"/>
  <c r="BB76" i="3" s="1"/>
  <c r="BB66" i="3"/>
  <c r="BA96" i="3" s="1"/>
  <c r="BB96" i="3" s="1"/>
  <c r="BA82" i="3"/>
  <c r="BB82" i="3" s="1"/>
  <c r="BB72" i="3"/>
  <c r="BA102" i="3" s="1"/>
  <c r="BB102" i="3" s="1"/>
  <c r="E75" i="3"/>
  <c r="H85" i="3"/>
  <c r="I75" i="3"/>
  <c r="BA78" i="3"/>
  <c r="BB78" i="3" s="1"/>
  <c r="BB68" i="3"/>
  <c r="BA98" i="3" s="1"/>
  <c r="BB98" i="3" s="1"/>
  <c r="Q85" i="3"/>
  <c r="R85" i="3" s="1"/>
  <c r="R75" i="3"/>
  <c r="Q105" i="3" s="1"/>
  <c r="R105" i="3" s="1"/>
  <c r="BD78" i="3"/>
  <c r="BE78" i="3" s="1"/>
  <c r="BE68" i="3"/>
  <c r="BD98" i="3" s="1"/>
  <c r="BE98" i="3" s="1"/>
  <c r="AM74" i="3"/>
  <c r="AL104" i="3" s="1"/>
  <c r="AM104" i="3" s="1"/>
  <c r="AL84" i="3"/>
  <c r="AM84" i="3" s="1"/>
  <c r="AR82" i="3"/>
  <c r="AS82" i="3" s="1"/>
  <c r="AS72" i="3"/>
  <c r="AR102" i="3" s="1"/>
  <c r="AS102" i="3" s="1"/>
  <c r="AM73" i="3"/>
  <c r="AL103" i="3" s="1"/>
  <c r="AM103" i="3" s="1"/>
  <c r="AL83" i="3"/>
  <c r="AM83" i="3" s="1"/>
  <c r="AC85" i="3"/>
  <c r="AD85" i="3" s="1"/>
  <c r="AD75" i="3"/>
  <c r="AC105" i="3" s="1"/>
  <c r="AD105" i="3" s="1"/>
  <c r="BD77" i="3"/>
  <c r="BE77" i="3" s="1"/>
  <c r="BE67" i="3"/>
  <c r="BD97" i="3" s="1"/>
  <c r="BE97" i="3" s="1"/>
  <c r="Z84" i="3"/>
  <c r="AA74" i="3"/>
  <c r="AF84" i="3"/>
  <c r="AG84" i="3" s="1"/>
  <c r="AG74" i="3"/>
  <c r="AF104" i="3" s="1"/>
  <c r="AG104" i="3" s="1"/>
  <c r="AX76" i="3"/>
  <c r="AY66" i="3"/>
  <c r="AX96" i="3" s="1"/>
  <c r="AY96" i="3" s="1"/>
  <c r="BG81" i="3"/>
  <c r="BH81" i="3" s="1"/>
  <c r="BH71" i="3"/>
  <c r="BG101" i="3" s="1"/>
  <c r="BH101" i="3" s="1"/>
  <c r="AX77" i="3"/>
  <c r="AY77" i="3" s="1"/>
  <c r="AY67" i="3"/>
  <c r="AX97" i="3" s="1"/>
  <c r="AY97" i="3" s="1"/>
  <c r="T80" i="3"/>
  <c r="U70" i="3"/>
  <c r="Q78" i="3"/>
  <c r="R68" i="3"/>
  <c r="AC79" i="3"/>
  <c r="AD79" i="3" s="1"/>
  <c r="AD69" i="3"/>
  <c r="AL78" i="3"/>
  <c r="AM78" i="3" s="1"/>
  <c r="AM68" i="3"/>
  <c r="AL98" i="3" s="1"/>
  <c r="AM98" i="3" s="1"/>
  <c r="T83" i="3"/>
  <c r="U73" i="3"/>
  <c r="AO78" i="3"/>
  <c r="AP78" i="3" s="1"/>
  <c r="AP68" i="3"/>
  <c r="AO98" i="3" s="1"/>
  <c r="AP98" i="3" s="1"/>
  <c r="AL79" i="3"/>
  <c r="AM79" i="3" s="1"/>
  <c r="AM69" i="3"/>
  <c r="AL99" i="3" s="1"/>
  <c r="AM99" i="3" s="1"/>
  <c r="AC78" i="3"/>
  <c r="AD78" i="3" s="1"/>
  <c r="AD68" i="3"/>
  <c r="AC98" i="3" s="1"/>
  <c r="AD98" i="3" s="1"/>
  <c r="AO77" i="3"/>
  <c r="AP77" i="3" s="1"/>
  <c r="AP67" i="3"/>
  <c r="AI82" i="3"/>
  <c r="AJ72" i="3"/>
  <c r="AX81" i="3"/>
  <c r="AY81" i="3" s="1"/>
  <c r="AY71" i="3"/>
  <c r="AA68" i="3"/>
  <c r="Z98" i="3" s="1"/>
  <c r="AA98" i="3" s="1"/>
  <c r="Z78" i="3"/>
  <c r="AA78" i="3" s="1"/>
  <c r="AM66" i="3"/>
  <c r="AL76" i="3"/>
  <c r="AM76" i="3" s="1"/>
  <c r="Z83" i="3"/>
  <c r="AA83" i="3" s="1"/>
  <c r="AA73" i="3"/>
  <c r="Z103" i="3" s="1"/>
  <c r="AA103" i="3" s="1"/>
  <c r="W81" i="3"/>
  <c r="X81" i="3" s="1"/>
  <c r="X71" i="3"/>
  <c r="W101" i="3" s="1"/>
  <c r="X101" i="3" s="1"/>
  <c r="BM76" i="3"/>
  <c r="BN76" i="3" s="1"/>
  <c r="BN66" i="3"/>
  <c r="BM96" i="3" s="1"/>
  <c r="BN96" i="3" s="1"/>
  <c r="AR83" i="3"/>
  <c r="AS83" i="3" s="1"/>
  <c r="AS73" i="3"/>
  <c r="AR103" i="3" s="1"/>
  <c r="AS103" i="3" s="1"/>
  <c r="E74" i="3"/>
  <c r="I74" i="3"/>
  <c r="H104" i="3" s="1"/>
  <c r="I104" i="3" s="1"/>
  <c r="H84" i="3"/>
  <c r="I84" i="3" s="1"/>
  <c r="AF80" i="3"/>
  <c r="AG80" i="3" s="1"/>
  <c r="AG70" i="3"/>
  <c r="AF100" i="3" s="1"/>
  <c r="AG100" i="3" s="1"/>
  <c r="AP71" i="3"/>
  <c r="AO101" i="3" s="1"/>
  <c r="AP101" i="3" s="1"/>
  <c r="AO81" i="3"/>
  <c r="AP81" i="3" s="1"/>
  <c r="H77" i="3"/>
  <c r="I77" i="3" s="1"/>
  <c r="I67" i="3"/>
  <c r="H97" i="3" s="1"/>
  <c r="I97" i="3" s="1"/>
  <c r="N84" i="3"/>
  <c r="O84" i="3" s="1"/>
  <c r="O74" i="3"/>
  <c r="N104" i="3" s="1"/>
  <c r="O104" i="3" s="1"/>
  <c r="E71" i="3"/>
  <c r="H81" i="3"/>
  <c r="I81" i="3" s="1"/>
  <c r="I71" i="3"/>
  <c r="H101" i="3" s="1"/>
  <c r="I101" i="3" s="1"/>
  <c r="AC84" i="3"/>
  <c r="AD84" i="3" s="1"/>
  <c r="AD74" i="3"/>
  <c r="AC104" i="3" s="1"/>
  <c r="AD104" i="3" s="1"/>
  <c r="AF77" i="3"/>
  <c r="AG77" i="3" s="1"/>
  <c r="AG67" i="3"/>
  <c r="AF97" i="3" s="1"/>
  <c r="AG97" i="3" s="1"/>
  <c r="W82" i="3"/>
  <c r="X82" i="3" s="1"/>
  <c r="X72" i="3"/>
  <c r="W102" i="3" s="1"/>
  <c r="X102" i="3" s="1"/>
  <c r="W78" i="3"/>
  <c r="X78" i="3" s="1"/>
  <c r="X68" i="3"/>
  <c r="W98" i="3" s="1"/>
  <c r="X98" i="3" s="1"/>
  <c r="BP82" i="3"/>
  <c r="BQ82" i="3" s="1"/>
  <c r="BQ72" i="3"/>
  <c r="BP102" i="3" s="1"/>
  <c r="BQ102" i="3" s="1"/>
  <c r="H79" i="3"/>
  <c r="I79" i="3" s="1"/>
  <c r="E69" i="3"/>
  <c r="I69" i="3"/>
  <c r="H99" i="3" s="1"/>
  <c r="I99" i="3" s="1"/>
  <c r="Z80" i="3"/>
  <c r="AA80" i="3" s="1"/>
  <c r="AA70" i="3"/>
  <c r="Z100" i="3" s="1"/>
  <c r="AA100" i="3" s="1"/>
  <c r="AR85" i="3"/>
  <c r="AS85" i="3" s="1"/>
  <c r="AS75" i="3"/>
  <c r="AR105" i="3" s="1"/>
  <c r="AS105" i="3" s="1"/>
  <c r="BP80" i="3"/>
  <c r="BQ80" i="3" s="1"/>
  <c r="BQ70" i="3"/>
  <c r="BP100" i="3" s="1"/>
  <c r="BQ100" i="3" s="1"/>
  <c r="Z77" i="3"/>
  <c r="AA77" i="3" s="1"/>
  <c r="AA67" i="3"/>
  <c r="Z97" i="3" s="1"/>
  <c r="AA97" i="3" s="1"/>
  <c r="BP77" i="3"/>
  <c r="BQ77" i="3" s="1"/>
  <c r="BQ67" i="3"/>
  <c r="BP97" i="3" s="1"/>
  <c r="BQ97" i="3" s="1"/>
  <c r="BG78" i="3"/>
  <c r="BH78" i="3" s="1"/>
  <c r="BH68" i="3"/>
  <c r="BG98" i="3" s="1"/>
  <c r="BH98" i="3" s="1"/>
  <c r="N78" i="3"/>
  <c r="O78" i="3" s="1"/>
  <c r="O68" i="3"/>
  <c r="N98" i="3" s="1"/>
  <c r="O98" i="3" s="1"/>
  <c r="BD81" i="3"/>
  <c r="BE81" i="3" s="1"/>
  <c r="BE71" i="3"/>
  <c r="BD101" i="3" s="1"/>
  <c r="BE101" i="3" s="1"/>
  <c r="W83" i="3"/>
  <c r="X83" i="3" s="1"/>
  <c r="X73" i="3"/>
  <c r="W103" i="3" s="1"/>
  <c r="X103" i="3" s="1"/>
  <c r="BJ81" i="3"/>
  <c r="BK81" i="3" s="1"/>
  <c r="BK71" i="3"/>
  <c r="BJ101" i="3" s="1"/>
  <c r="BK101" i="3" s="1"/>
  <c r="BM77" i="3"/>
  <c r="BN77" i="3" s="1"/>
  <c r="BN67" i="3"/>
  <c r="BM97" i="3" s="1"/>
  <c r="BN97" i="3" s="1"/>
  <c r="AI79" i="3"/>
  <c r="AJ79" i="3" s="1"/>
  <c r="AJ69" i="3"/>
  <c r="AI99" i="3" s="1"/>
  <c r="AJ99" i="3" s="1"/>
  <c r="AL81" i="3"/>
  <c r="AM81" i="3" s="1"/>
  <c r="AM71" i="3"/>
  <c r="AL101" i="3" s="1"/>
  <c r="AM101" i="3" s="1"/>
  <c r="BG76" i="3"/>
  <c r="BH76" i="3" s="1"/>
  <c r="BH66" i="3"/>
  <c r="BG96" i="3" s="1"/>
  <c r="BH96" i="3" s="1"/>
  <c r="W76" i="3"/>
  <c r="X76" i="3" s="1"/>
  <c r="X66" i="3"/>
  <c r="W96" i="3" s="1"/>
  <c r="X96" i="3" s="1"/>
  <c r="BJ78" i="3"/>
  <c r="BK78" i="3" s="1"/>
  <c r="BK68" i="3"/>
  <c r="BJ98" i="3" s="1"/>
  <c r="BK98" i="3" s="1"/>
  <c r="Z76" i="3"/>
  <c r="AA76" i="3" s="1"/>
  <c r="AA66" i="3"/>
  <c r="Z96" i="3" s="1"/>
  <c r="AA96" i="3" s="1"/>
  <c r="BM83" i="3"/>
  <c r="BN83" i="3" s="1"/>
  <c r="BN73" i="3"/>
  <c r="BM103" i="3" s="1"/>
  <c r="BN103" i="3" s="1"/>
  <c r="N85" i="3"/>
  <c r="O85" i="3" s="1"/>
  <c r="O75" i="3"/>
  <c r="N105" i="3" s="1"/>
  <c r="O105" i="3" s="1"/>
  <c r="Q79" i="3"/>
  <c r="R79" i="3" s="1"/>
  <c r="R69" i="3"/>
  <c r="Q99" i="3" s="1"/>
  <c r="R99" i="3" s="1"/>
  <c r="AX80" i="3"/>
  <c r="AY80" i="3" s="1"/>
  <c r="AY70" i="3"/>
  <c r="AX100" i="3" s="1"/>
  <c r="AY100" i="3" s="1"/>
  <c r="AU76" i="3"/>
  <c r="AV76" i="3" s="1"/>
  <c r="AV66" i="3"/>
  <c r="AU96" i="3" s="1"/>
  <c r="AV96" i="3" s="1"/>
  <c r="BM81" i="3"/>
  <c r="BN81" i="3" s="1"/>
  <c r="BN71" i="3"/>
  <c r="BM101" i="3" s="1"/>
  <c r="BN101" i="3" s="1"/>
  <c r="AC81" i="3"/>
  <c r="AD81" i="3" s="1"/>
  <c r="AD71" i="3"/>
  <c r="AC101" i="3" s="1"/>
  <c r="AD101" i="3" s="1"/>
  <c r="BP78" i="3"/>
  <c r="BQ78" i="3" s="1"/>
  <c r="BQ68" i="3"/>
  <c r="BP98" i="3" s="1"/>
  <c r="BQ98" i="3" s="1"/>
  <c r="Q83" i="3"/>
  <c r="R83" i="3" s="1"/>
  <c r="R73" i="3"/>
  <c r="Q103" i="3" s="1"/>
  <c r="R103" i="3" s="1"/>
  <c r="BG79" i="3"/>
  <c r="BH79" i="3" s="1"/>
  <c r="BH69" i="3"/>
  <c r="BG99" i="3" s="1"/>
  <c r="BH99" i="3" s="1"/>
  <c r="BD76" i="3"/>
  <c r="BE76" i="3" s="1"/>
  <c r="BE66" i="3"/>
  <c r="BD96" i="3" s="1"/>
  <c r="BE96" i="3" s="1"/>
  <c r="AF85" i="3"/>
  <c r="AG85" i="3" s="1"/>
  <c r="AG75" i="3"/>
  <c r="AF105" i="3" s="1"/>
  <c r="AG105" i="3" s="1"/>
  <c r="N79" i="3"/>
  <c r="O69" i="3"/>
  <c r="N99" i="3" s="1"/>
  <c r="O99" i="3" s="1"/>
  <c r="AO80" i="3"/>
  <c r="AP80" i="3" s="1"/>
  <c r="AP70" i="3"/>
  <c r="AO100" i="3" s="1"/>
  <c r="AP100" i="3" s="1"/>
  <c r="AR84" i="3"/>
  <c r="AS84" i="3" s="1"/>
  <c r="AS74" i="3"/>
  <c r="AR104" i="3" s="1"/>
  <c r="AS104" i="3" s="1"/>
  <c r="AF82" i="3"/>
  <c r="AG82" i="3" s="1"/>
  <c r="AG72" i="3"/>
  <c r="AF102" i="3" s="1"/>
  <c r="AG102" i="3" s="1"/>
  <c r="AL80" i="3"/>
  <c r="AM80" i="3" s="1"/>
  <c r="AM70" i="3"/>
  <c r="AL100" i="3" s="1"/>
  <c r="AM100" i="3" s="1"/>
  <c r="BP76" i="3"/>
  <c r="BQ76" i="3" s="1"/>
  <c r="BQ66" i="3"/>
  <c r="BP96" i="3" s="1"/>
  <c r="BQ96" i="3" s="1"/>
  <c r="AX78" i="3"/>
  <c r="AY78" i="3" s="1"/>
  <c r="AY68" i="3"/>
  <c r="AX98" i="3" s="1"/>
  <c r="AY98" i="3" s="1"/>
  <c r="Q77" i="3"/>
  <c r="R77" i="3" s="1"/>
  <c r="R67" i="3"/>
  <c r="Q97" i="3" s="1"/>
  <c r="R97" i="3" s="1"/>
  <c r="BJ85" i="3"/>
  <c r="BK85" i="3" s="1"/>
  <c r="BK75" i="3"/>
  <c r="BJ105" i="3" s="1"/>
  <c r="BK105" i="3" s="1"/>
  <c r="AR77" i="3"/>
  <c r="AS77" i="3" s="1"/>
  <c r="AS67" i="3"/>
  <c r="AR97" i="3" s="1"/>
  <c r="AS97" i="3" s="1"/>
  <c r="BP85" i="3"/>
  <c r="BQ85" i="3" s="1"/>
  <c r="BQ75" i="3"/>
  <c r="BP105" i="3" s="1"/>
  <c r="BQ105" i="3" s="1"/>
  <c r="AF81" i="3"/>
  <c r="AG81" i="3" s="1"/>
  <c r="AG71" i="3"/>
  <c r="AF101" i="3" s="1"/>
  <c r="AG101" i="3" s="1"/>
  <c r="E66" i="3"/>
  <c r="H76" i="3"/>
  <c r="I76" i="3" s="1"/>
  <c r="I66" i="3"/>
  <c r="H96" i="3" s="1"/>
  <c r="I96" i="3" s="1"/>
  <c r="BA84" i="3"/>
  <c r="BB84" i="3" s="1"/>
  <c r="BB74" i="3"/>
  <c r="BA104" i="3" s="1"/>
  <c r="BB104" i="3" s="1"/>
  <c r="BP79" i="3"/>
  <c r="BQ79" i="3" s="1"/>
  <c r="BQ69" i="3"/>
  <c r="BP99" i="3" s="1"/>
  <c r="BQ99" i="3" s="1"/>
  <c r="BP81" i="3"/>
  <c r="BQ81" i="3" s="1"/>
  <c r="BQ71" i="3"/>
  <c r="BP101" i="3" s="1"/>
  <c r="BQ101" i="3" s="1"/>
  <c r="T79" i="3"/>
  <c r="U79" i="3" s="1"/>
  <c r="U69" i="3"/>
  <c r="T99" i="3" s="1"/>
  <c r="U99" i="3" s="1"/>
  <c r="BJ83" i="3"/>
  <c r="BK83" i="3" s="1"/>
  <c r="BK73" i="3"/>
  <c r="BJ103" i="3" s="1"/>
  <c r="BK103" i="3" s="1"/>
  <c r="AS71" i="3"/>
  <c r="AR101" i="3" s="1"/>
  <c r="AS101" i="3" s="1"/>
  <c r="AR81" i="3"/>
  <c r="AS81" i="3" s="1"/>
  <c r="BD83" i="3"/>
  <c r="BE83" i="3" s="1"/>
  <c r="BE73" i="3"/>
  <c r="BD103" i="3" s="1"/>
  <c r="BE103" i="3" s="1"/>
  <c r="AU80" i="3"/>
  <c r="AV80" i="3" s="1"/>
  <c r="AV70" i="3"/>
  <c r="AU100" i="3" s="1"/>
  <c r="AV100" i="3" s="1"/>
  <c r="T81" i="3"/>
  <c r="U81" i="3" s="1"/>
  <c r="U71" i="3"/>
  <c r="T101" i="3" s="1"/>
  <c r="U101" i="3" s="1"/>
  <c r="AG66" i="3"/>
  <c r="AF96" i="3" s="1"/>
  <c r="AG96" i="3" s="1"/>
  <c r="AF76" i="3"/>
  <c r="AG76" i="3" s="1"/>
  <c r="BK67" i="3"/>
  <c r="BJ97" i="3" s="1"/>
  <c r="BK97" i="3" s="1"/>
  <c r="BJ77" i="3"/>
  <c r="BK77" i="3" s="1"/>
  <c r="AS69" i="3"/>
  <c r="AR99" i="3" s="1"/>
  <c r="AS99" i="3" s="1"/>
  <c r="AR79" i="3"/>
  <c r="AS79" i="3" s="1"/>
  <c r="T77" i="3"/>
  <c r="U67" i="3"/>
  <c r="T97" i="3" s="1"/>
  <c r="U97" i="3" s="1"/>
  <c r="T85" i="3"/>
  <c r="U85" i="3" s="1"/>
  <c r="U75" i="3"/>
  <c r="T105" i="3" s="1"/>
  <c r="U105" i="3" s="1"/>
  <c r="BJ80" i="3"/>
  <c r="BK80" i="3" s="1"/>
  <c r="BK70" i="3"/>
  <c r="BJ100" i="3" s="1"/>
  <c r="BK100" i="3" s="1"/>
  <c r="AC83" i="3"/>
  <c r="AD83" i="3" s="1"/>
  <c r="AD73" i="3"/>
  <c r="AC103" i="3" s="1"/>
  <c r="AD103" i="3" s="1"/>
  <c r="AF79" i="3"/>
  <c r="AG79" i="3" s="1"/>
  <c r="AG69" i="3"/>
  <c r="AF99" i="3" s="1"/>
  <c r="AG99" i="3" s="1"/>
  <c r="AR76" i="3"/>
  <c r="AS76" i="3" s="1"/>
  <c r="AS66" i="3"/>
  <c r="AR96" i="3" s="1"/>
  <c r="AS96" i="3" s="1"/>
  <c r="AO84" i="3"/>
  <c r="AP84" i="3" s="1"/>
  <c r="AP74" i="3"/>
  <c r="AO104" i="3" s="1"/>
  <c r="AP104" i="3" s="1"/>
  <c r="AO76" i="3"/>
  <c r="AP76" i="3" s="1"/>
  <c r="AP66" i="3"/>
  <c r="AO96" i="3" s="1"/>
  <c r="AP96" i="3" s="1"/>
  <c r="BM85" i="3"/>
  <c r="BN85" i="3" s="1"/>
  <c r="BN75" i="3"/>
  <c r="BM105" i="3" s="1"/>
  <c r="BN105" i="3" s="1"/>
  <c r="Q82" i="3"/>
  <c r="R82" i="3" s="1"/>
  <c r="R72" i="3"/>
  <c r="Q102" i="3" s="1"/>
  <c r="R102" i="3" s="1"/>
  <c r="BH67" i="3"/>
  <c r="BG97" i="3" s="1"/>
  <c r="BH97" i="3" s="1"/>
  <c r="BG77" i="3"/>
  <c r="BH77" i="3" s="1"/>
  <c r="Q80" i="3"/>
  <c r="R80" i="3" s="1"/>
  <c r="R70" i="3"/>
  <c r="Q100" i="3" s="1"/>
  <c r="R100" i="3" s="1"/>
  <c r="BA77" i="3"/>
  <c r="BB77" i="3" s="1"/>
  <c r="BB67" i="3"/>
  <c r="BA97" i="3" s="1"/>
  <c r="BB97" i="3" s="1"/>
  <c r="U66" i="3"/>
  <c r="T96" i="3" s="1"/>
  <c r="U96" i="3" s="1"/>
  <c r="T76" i="3"/>
  <c r="U76" i="3" s="1"/>
  <c r="X67" i="3"/>
  <c r="W97" i="3" s="1"/>
  <c r="X97" i="3" s="1"/>
  <c r="W77" i="3"/>
  <c r="X77" i="3" s="1"/>
  <c r="BN68" i="3"/>
  <c r="BM98" i="3" s="1"/>
  <c r="BN98" i="3" s="1"/>
  <c r="BM78" i="3"/>
  <c r="BN78" i="3" s="1"/>
  <c r="AO83" i="3"/>
  <c r="AP83" i="3" s="1"/>
  <c r="AP73" i="3"/>
  <c r="AO103" i="3" s="1"/>
  <c r="AP103" i="3" s="1"/>
  <c r="AO82" i="3"/>
  <c r="AP82" i="3" s="1"/>
  <c r="AP72" i="3"/>
  <c r="AO102" i="3" s="1"/>
  <c r="AP102" i="3" s="1"/>
  <c r="AI84" i="3"/>
  <c r="AJ84" i="3" s="1"/>
  <c r="AJ74" i="3"/>
  <c r="AI104" i="3" s="1"/>
  <c r="AJ104" i="3" s="1"/>
  <c r="O72" i="3"/>
  <c r="N102" i="3" s="1"/>
  <c r="O102" i="3" s="1"/>
  <c r="N82" i="3"/>
  <c r="O82" i="3" s="1"/>
  <c r="K84" i="3"/>
  <c r="L84" i="3" s="1"/>
  <c r="L74" i="3"/>
  <c r="K104" i="3" s="1"/>
  <c r="L104" i="3" s="1"/>
  <c r="L71" i="3"/>
  <c r="K101" i="3" s="1"/>
  <c r="L101" i="3" s="1"/>
  <c r="K81" i="3"/>
  <c r="L81" i="3" s="1"/>
  <c r="L70" i="3"/>
  <c r="K100" i="3" s="1"/>
  <c r="L100" i="3" s="1"/>
  <c r="K80" i="3"/>
  <c r="L80" i="3" s="1"/>
  <c r="K79" i="3"/>
  <c r="L79" i="3" s="1"/>
  <c r="L69" i="3"/>
  <c r="K99" i="3" s="1"/>
  <c r="L99" i="3" s="1"/>
  <c r="K78" i="3"/>
  <c r="L78" i="3" s="1"/>
  <c r="L68" i="3"/>
  <c r="K98" i="3" s="1"/>
  <c r="L98" i="3" s="1"/>
  <c r="L75" i="3"/>
  <c r="K105" i="3" s="1"/>
  <c r="L105" i="3" s="1"/>
  <c r="K85" i="3"/>
  <c r="L85" i="3" s="1"/>
  <c r="K83" i="3"/>
  <c r="L83" i="3" s="1"/>
  <c r="L73" i="3"/>
  <c r="K103" i="3" s="1"/>
  <c r="L103" i="3" s="1"/>
  <c r="K82" i="3"/>
  <c r="L82" i="3" s="1"/>
  <c r="L72" i="3"/>
  <c r="K102" i="3" s="1"/>
  <c r="L102" i="3" s="1"/>
  <c r="K76" i="3"/>
  <c r="L76" i="3" s="1"/>
  <c r="L66" i="3"/>
  <c r="K96" i="3" s="1"/>
  <c r="L96" i="3" s="1"/>
  <c r="E72" i="3"/>
  <c r="E70" i="3"/>
  <c r="BB69" i="3"/>
  <c r="BA99" i="3" s="1"/>
  <c r="BB99" i="3" s="1"/>
  <c r="BA79" i="3"/>
  <c r="BB79" i="3" s="1"/>
  <c r="BE69" i="3"/>
  <c r="BD99" i="3" s="1"/>
  <c r="BE99" i="3" s="1"/>
  <c r="BD79" i="3"/>
  <c r="BE79" i="3" s="1"/>
  <c r="AJ66" i="3"/>
  <c r="AI96" i="3" s="1"/>
  <c r="AJ96" i="3" s="1"/>
  <c r="AI76" i="3"/>
  <c r="AJ76" i="3" s="1"/>
  <c r="O70" i="3"/>
  <c r="N100" i="3" s="1"/>
  <c r="O100" i="3" s="1"/>
  <c r="N80" i="3"/>
  <c r="O80" i="3" s="1"/>
  <c r="AY69" i="3"/>
  <c r="AX99" i="3" s="1"/>
  <c r="AY99" i="3" s="1"/>
  <c r="AX79" i="3"/>
  <c r="AY79" i="3" s="1"/>
  <c r="AA71" i="3"/>
  <c r="Z101" i="3" s="1"/>
  <c r="AA101" i="3" s="1"/>
  <c r="Z81" i="3"/>
  <c r="AA81" i="3" s="1"/>
  <c r="AA72" i="3"/>
  <c r="Z102" i="3" s="1"/>
  <c r="AA102" i="3" s="1"/>
  <c r="Z82" i="3"/>
  <c r="AA82" i="3" s="1"/>
  <c r="AV67" i="3"/>
  <c r="AU97" i="3" s="1"/>
  <c r="AV97" i="3" s="1"/>
  <c r="AU77" i="3"/>
  <c r="AV77" i="3" s="1"/>
  <c r="AV72" i="3"/>
  <c r="AU102" i="3" s="1"/>
  <c r="AV102" i="3" s="1"/>
  <c r="AU82" i="3"/>
  <c r="AV82" i="3" s="1"/>
  <c r="BB75" i="3"/>
  <c r="BA105" i="3" s="1"/>
  <c r="BB105" i="3" s="1"/>
  <c r="BA85" i="3"/>
  <c r="BB85" i="3" s="1"/>
  <c r="U68" i="3"/>
  <c r="T98" i="3" s="1"/>
  <c r="U98" i="3" s="1"/>
  <c r="T78" i="3"/>
  <c r="U78" i="3" s="1"/>
  <c r="AM67" i="3"/>
  <c r="AL97" i="3" s="1"/>
  <c r="AM97" i="3" s="1"/>
  <c r="AL77" i="3"/>
  <c r="AM77" i="3" s="1"/>
  <c r="BK66" i="3"/>
  <c r="BJ96" i="3" s="1"/>
  <c r="BK96" i="3" s="1"/>
  <c r="BJ76" i="3"/>
  <c r="BK76" i="3" s="1"/>
  <c r="BK72" i="3"/>
  <c r="BJ102" i="3" s="1"/>
  <c r="BK102" i="3" s="1"/>
  <c r="BJ82" i="3"/>
  <c r="BK82" i="3" s="1"/>
  <c r="BK74" i="3"/>
  <c r="BJ104" i="3" s="1"/>
  <c r="BK104" i="3" s="1"/>
  <c r="BJ84" i="3"/>
  <c r="BK84" i="3" s="1"/>
  <c r="BH72" i="3"/>
  <c r="BG102" i="3" s="1"/>
  <c r="BH102" i="3" s="1"/>
  <c r="BG82" i="3"/>
  <c r="BH82" i="3" s="1"/>
  <c r="Z79" i="3"/>
  <c r="AA79" i="3" s="1"/>
  <c r="AA69" i="3"/>
  <c r="Z99" i="3" s="1"/>
  <c r="AA99" i="3" s="1"/>
  <c r="BE75" i="3"/>
  <c r="BD105" i="3" s="1"/>
  <c r="BE105" i="3" s="1"/>
  <c r="BD85" i="3"/>
  <c r="BE85" i="3" s="1"/>
  <c r="AP75" i="3"/>
  <c r="AO105" i="3" s="1"/>
  <c r="AP105" i="3" s="1"/>
  <c r="AO85" i="3"/>
  <c r="AP85" i="3" s="1"/>
  <c r="AG68" i="3"/>
  <c r="AF98" i="3" s="1"/>
  <c r="AG98" i="3" s="1"/>
  <c r="AF78" i="3"/>
  <c r="AG78" i="3" s="1"/>
  <c r="AY74" i="3"/>
  <c r="AX104" i="3" s="1"/>
  <c r="AY104" i="3" s="1"/>
  <c r="AX84" i="3"/>
  <c r="AY84" i="3" s="1"/>
  <c r="R74" i="3"/>
  <c r="Q104" i="3" s="1"/>
  <c r="R104" i="3" s="1"/>
  <c r="Q84" i="3"/>
  <c r="R84" i="3" s="1"/>
  <c r="AX85" i="3"/>
  <c r="AY85" i="3" s="1"/>
  <c r="AY75" i="3"/>
  <c r="AX105" i="3" s="1"/>
  <c r="AY105" i="3" s="1"/>
  <c r="BH70" i="3"/>
  <c r="BG100" i="3" s="1"/>
  <c r="BG80" i="3"/>
  <c r="BH80" i="3" s="1"/>
  <c r="AI78" i="3"/>
  <c r="AJ78" i="3" s="1"/>
  <c r="AJ68" i="3"/>
  <c r="AI98" i="3" s="1"/>
  <c r="AI83" i="3"/>
  <c r="AJ83" i="3" s="1"/>
  <c r="AJ73" i="3"/>
  <c r="AI103" i="3" s="1"/>
  <c r="AJ103" i="3" s="1"/>
  <c r="AY72" i="3"/>
  <c r="AX102" i="3" s="1"/>
  <c r="AY102" i="3" s="1"/>
  <c r="AX82" i="3"/>
  <c r="AY82" i="3" s="1"/>
  <c r="O73" i="3"/>
  <c r="N103" i="3" s="1"/>
  <c r="O103" i="3" s="1"/>
  <c r="N83" i="3"/>
  <c r="O83" i="3" s="1"/>
  <c r="AV69" i="3"/>
  <c r="AU99" i="3" s="1"/>
  <c r="AV99" i="3" s="1"/>
  <c r="AU79" i="3"/>
  <c r="AV79" i="3" s="1"/>
  <c r="AY73" i="3"/>
  <c r="AX103" i="3" s="1"/>
  <c r="AY103" i="3" s="1"/>
  <c r="AX83" i="3"/>
  <c r="AY83" i="3" s="1"/>
  <c r="BB70" i="3"/>
  <c r="BA100" i="3" s="1"/>
  <c r="BB100" i="3" s="1"/>
  <c r="BA80" i="3"/>
  <c r="BB80" i="3" s="1"/>
  <c r="I70" i="3"/>
  <c r="H100" i="3" s="1"/>
  <c r="I100" i="3" s="1"/>
  <c r="H80" i="3"/>
  <c r="I80" i="3" s="1"/>
  <c r="AD66" i="3"/>
  <c r="AC96" i="3" s="1"/>
  <c r="AD96" i="3" s="1"/>
  <c r="AC76" i="3"/>
  <c r="AD76" i="3" s="1"/>
  <c r="BE70" i="3"/>
  <c r="BD100" i="3" s="1"/>
  <c r="BE100" i="3" s="1"/>
  <c r="BD80" i="3"/>
  <c r="BE80" i="3" s="1"/>
  <c r="R71" i="3"/>
  <c r="Q101" i="3" s="1"/>
  <c r="Q81" i="3"/>
  <c r="BB73" i="3"/>
  <c r="BA103" i="3" s="1"/>
  <c r="BB103" i="3" s="1"/>
  <c r="BA83" i="3"/>
  <c r="BB83" i="3" s="1"/>
  <c r="AC82" i="3"/>
  <c r="AD82" i="3" s="1"/>
  <c r="AD72" i="3"/>
  <c r="AC102" i="3" s="1"/>
  <c r="AD102" i="3" s="1"/>
  <c r="X70" i="3"/>
  <c r="W100" i="3" s="1"/>
  <c r="X100" i="3" s="1"/>
  <c r="W80" i="3"/>
  <c r="X80" i="3" s="1"/>
  <c r="BB71" i="3"/>
  <c r="BA101" i="3" s="1"/>
  <c r="BB101" i="3" s="1"/>
  <c r="BA81" i="3"/>
  <c r="BB81" i="3" s="1"/>
  <c r="T82" i="3"/>
  <c r="U82" i="3" s="1"/>
  <c r="U72" i="3"/>
  <c r="T102" i="3" s="1"/>
  <c r="AV73" i="3"/>
  <c r="AU103" i="3" s="1"/>
  <c r="AV103" i="3" s="1"/>
  <c r="AU83" i="3"/>
  <c r="AV83" i="3" s="1"/>
  <c r="AD67" i="3"/>
  <c r="AC97" i="3" s="1"/>
  <c r="AD97" i="3" s="1"/>
  <c r="AC77" i="3"/>
  <c r="AD77" i="3" s="1"/>
  <c r="BM84" i="3"/>
  <c r="BN84" i="3" s="1"/>
  <c r="BN74" i="3"/>
  <c r="BM104" i="3" s="1"/>
  <c r="BN104" i="3" s="1"/>
  <c r="AR78" i="3"/>
  <c r="AS78" i="3" s="1"/>
  <c r="AS68" i="3"/>
  <c r="AR98" i="3" s="1"/>
  <c r="AS98" i="3" s="1"/>
  <c r="AF83" i="3"/>
  <c r="AG83" i="3" s="1"/>
  <c r="AG73" i="3"/>
  <c r="AF103" i="3" s="1"/>
  <c r="O66" i="3"/>
  <c r="N96" i="3" s="1"/>
  <c r="N76" i="3"/>
  <c r="O76" i="3" s="1"/>
  <c r="W84" i="3"/>
  <c r="X84" i="3" s="1"/>
  <c r="X74" i="3"/>
  <c r="W104" i="3" s="1"/>
  <c r="AJ75" i="3"/>
  <c r="AI105" i="3" s="1"/>
  <c r="AJ105" i="3" s="1"/>
  <c r="AI85" i="3"/>
  <c r="AJ85" i="3" s="1"/>
  <c r="BE74" i="3"/>
  <c r="BD104" i="3" s="1"/>
  <c r="BE104" i="3" s="1"/>
  <c r="BD84" i="3"/>
  <c r="BE84" i="3" s="1"/>
  <c r="X69" i="3"/>
  <c r="W99" i="3" s="1"/>
  <c r="W79" i="3"/>
  <c r="X79" i="3" s="1"/>
  <c r="Z85" i="3"/>
  <c r="AA85" i="3" s="1"/>
  <c r="AA75" i="3"/>
  <c r="Z105" i="3" s="1"/>
  <c r="BD82" i="3"/>
  <c r="BE82" i="3" s="1"/>
  <c r="BE72" i="3"/>
  <c r="BD102" i="3" s="1"/>
  <c r="BE102" i="3" s="1"/>
  <c r="AM75" i="3"/>
  <c r="AL105" i="3" s="1"/>
  <c r="AM105" i="3" s="1"/>
  <c r="AL85" i="3"/>
  <c r="AM85" i="3" s="1"/>
  <c r="AI80" i="3"/>
  <c r="AJ80" i="3" s="1"/>
  <c r="AJ70" i="3"/>
  <c r="AI100" i="3" s="1"/>
  <c r="AJ100" i="3" s="1"/>
  <c r="AV75" i="3"/>
  <c r="AU105" i="3" s="1"/>
  <c r="AV105" i="3" s="1"/>
  <c r="AU85" i="3"/>
  <c r="AV85" i="3" s="1"/>
  <c r="AV68" i="3"/>
  <c r="AU98" i="3" s="1"/>
  <c r="AV98" i="3" s="1"/>
  <c r="AU78" i="3"/>
  <c r="AV78" i="3" s="1"/>
  <c r="K8" i="11"/>
  <c r="L8" i="11"/>
  <c r="E8" i="11"/>
  <c r="D13" i="6"/>
  <c r="E13" i="6" s="1"/>
  <c r="M42" i="11"/>
  <c r="J8" i="11"/>
  <c r="J9" i="11"/>
  <c r="J38" i="11" s="1"/>
  <c r="BA5" i="20"/>
  <c r="I8" i="11"/>
  <c r="F8" i="11"/>
  <c r="G8" i="11"/>
  <c r="D7" i="6"/>
  <c r="E7" i="6" s="1"/>
  <c r="G42" i="11"/>
  <c r="D10" i="6"/>
  <c r="E10" i="6" s="1"/>
  <c r="J42" i="11"/>
  <c r="I9" i="11"/>
  <c r="I38" i="11" s="1"/>
  <c r="G9" i="11"/>
  <c r="G38" i="11" s="1"/>
  <c r="M9" i="11"/>
  <c r="M38" i="11" s="1"/>
  <c r="K9" i="11"/>
  <c r="K38" i="11" s="1"/>
  <c r="L9" i="11"/>
  <c r="L38" i="11" s="1"/>
  <c r="M8" i="11"/>
  <c r="BA9" i="20"/>
  <c r="Z77" i="9"/>
  <c r="Y5" i="20"/>
  <c r="G13" i="39"/>
  <c r="D12" i="6"/>
  <c r="E12" i="6" s="1"/>
  <c r="L42" i="11"/>
  <c r="D9" i="6"/>
  <c r="E9" i="6" s="1"/>
  <c r="I42" i="11"/>
  <c r="D5" i="6"/>
  <c r="E5" i="6" s="1"/>
  <c r="E42" i="11"/>
  <c r="H42" i="11"/>
  <c r="D8" i="6"/>
  <c r="E8" i="6" s="1"/>
  <c r="F23" i="20"/>
  <c r="AH23" i="20"/>
  <c r="AF11" i="20"/>
  <c r="H8" i="11"/>
  <c r="H9" i="11"/>
  <c r="H38" i="11" s="1"/>
  <c r="Y9" i="20"/>
  <c r="D11" i="20"/>
  <c r="D11" i="6"/>
  <c r="E11" i="6" s="1"/>
  <c r="K42" i="11"/>
  <c r="D6" i="6"/>
  <c r="E6" i="6" s="1"/>
  <c r="F42" i="11"/>
  <c r="G12" i="39"/>
  <c r="E78" i="9"/>
  <c r="D8" i="11"/>
  <c r="E55" i="10"/>
  <c r="D13" i="11"/>
  <c r="F47" i="26"/>
  <c r="I47" i="26" s="1"/>
  <c r="F46" i="26"/>
  <c r="I46" i="26" s="1"/>
  <c r="F45" i="26"/>
  <c r="I45" i="26" s="1"/>
  <c r="F8" i="26"/>
  <c r="I8" i="26" s="1"/>
  <c r="F6" i="26"/>
  <c r="I6" i="26" s="1"/>
  <c r="F7" i="26"/>
  <c r="I7" i="26" s="1"/>
  <c r="F62" i="26"/>
  <c r="I62" i="26" s="1"/>
  <c r="F61" i="26"/>
  <c r="I61" i="26" s="1"/>
  <c r="F60" i="26"/>
  <c r="I60" i="26" s="1"/>
  <c r="F65" i="26"/>
  <c r="I65" i="26" s="1"/>
  <c r="F64" i="26"/>
  <c r="I64" i="26" s="1"/>
  <c r="F63" i="26"/>
  <c r="I63" i="26" s="1"/>
  <c r="D28" i="29"/>
  <c r="F4" i="26"/>
  <c r="I4" i="26" s="1"/>
  <c r="F5" i="26"/>
  <c r="I5" i="26" s="1"/>
  <c r="F3" i="26"/>
  <c r="D16" i="29"/>
  <c r="J1" i="32"/>
  <c r="D4" i="29"/>
  <c r="AF7" i="20"/>
  <c r="D7" i="20"/>
  <c r="AF12" i="20"/>
  <c r="D12" i="20"/>
  <c r="F40" i="26"/>
  <c r="I40" i="26" s="1"/>
  <c r="F41" i="26"/>
  <c r="I41" i="26" s="1"/>
  <c r="F39" i="26"/>
  <c r="I39" i="26" s="1"/>
  <c r="R59" i="9" s="1"/>
  <c r="F36" i="26"/>
  <c r="I36" i="26" s="1"/>
  <c r="F34" i="26"/>
  <c r="I34" i="26" s="1"/>
  <c r="F35" i="26"/>
  <c r="I35" i="26" s="1"/>
  <c r="F27" i="26"/>
  <c r="I27" i="26" s="1"/>
  <c r="F26" i="26"/>
  <c r="I26" i="26" s="1"/>
  <c r="F20" i="26"/>
  <c r="I20" i="26" s="1"/>
  <c r="F12" i="26"/>
  <c r="I12" i="26" s="1"/>
  <c r="F37" i="26"/>
  <c r="I37" i="26" s="1"/>
  <c r="F30" i="26"/>
  <c r="I30" i="26" s="1"/>
  <c r="F28" i="26"/>
  <c r="I28" i="26" s="1"/>
  <c r="F22" i="26"/>
  <c r="I22" i="26" s="1"/>
  <c r="F19" i="26"/>
  <c r="I19" i="26" s="1"/>
  <c r="F17" i="26"/>
  <c r="I17" i="26" s="1"/>
  <c r="F9" i="26"/>
  <c r="I9" i="26" s="1"/>
  <c r="F43" i="26"/>
  <c r="I43" i="26" s="1"/>
  <c r="F42" i="26"/>
  <c r="I42" i="26" s="1"/>
  <c r="F25" i="26"/>
  <c r="I25" i="26" s="1"/>
  <c r="F21" i="26"/>
  <c r="I21" i="26" s="1"/>
  <c r="F15" i="26"/>
  <c r="I15" i="26" s="1"/>
  <c r="F13" i="26"/>
  <c r="I13" i="26" s="1"/>
  <c r="F32" i="26"/>
  <c r="I32" i="26" s="1"/>
  <c r="F10" i="26"/>
  <c r="I10" i="26" s="1"/>
  <c r="F18" i="26"/>
  <c r="I18" i="26" s="1"/>
  <c r="F11" i="26"/>
  <c r="I11" i="26" s="1"/>
  <c r="F44" i="26"/>
  <c r="I44" i="26" s="1"/>
  <c r="F57" i="26"/>
  <c r="I57" i="26" s="1"/>
  <c r="F58" i="26"/>
  <c r="I58" i="26" s="1"/>
  <c r="F59" i="26"/>
  <c r="I59" i="26" s="1"/>
  <c r="F54" i="26"/>
  <c r="I54" i="26" s="1"/>
  <c r="F55" i="26"/>
  <c r="I55" i="26" s="1"/>
  <c r="F56" i="26"/>
  <c r="I56" i="26" s="1"/>
  <c r="F51" i="26"/>
  <c r="I51" i="26" s="1"/>
  <c r="F52" i="26"/>
  <c r="I52" i="26" s="1"/>
  <c r="F53" i="26"/>
  <c r="I53" i="26" s="1"/>
  <c r="F48" i="26"/>
  <c r="I48" i="26" s="1"/>
  <c r="F49" i="26"/>
  <c r="I49" i="26" s="1"/>
  <c r="F50" i="26"/>
  <c r="I50" i="26" s="1"/>
  <c r="F38" i="26"/>
  <c r="I38" i="26" s="1"/>
  <c r="F33" i="26"/>
  <c r="I33" i="26" s="1"/>
  <c r="F31" i="26"/>
  <c r="I31" i="26" s="1"/>
  <c r="F29" i="26"/>
  <c r="I29" i="26" s="1"/>
  <c r="F24" i="26"/>
  <c r="I24" i="26" s="1"/>
  <c r="F23" i="26"/>
  <c r="I23" i="26" s="1"/>
  <c r="F16" i="26"/>
  <c r="I16" i="26" s="1"/>
  <c r="F14" i="26"/>
  <c r="I14" i="26" s="1"/>
  <c r="E7" i="2" l="1"/>
  <c r="Y14" i="4"/>
  <c r="E15" i="4"/>
  <c r="E14" i="4"/>
  <c r="AF17" i="20"/>
  <c r="AJ16" i="20"/>
  <c r="AF16" i="20" s="1"/>
  <c r="D17" i="20"/>
  <c r="H16" i="20"/>
  <c r="D16" i="20" s="1"/>
  <c r="F126" i="3"/>
  <c r="F129" i="3"/>
  <c r="Y23" i="20"/>
  <c r="F130" i="3"/>
  <c r="F131" i="3"/>
  <c r="BA23" i="20"/>
  <c r="W23" i="20"/>
  <c r="AY23" i="20"/>
  <c r="F128" i="3"/>
  <c r="U4" i="6"/>
  <c r="R14" i="6"/>
  <c r="T4" i="6"/>
  <c r="X15" i="4"/>
  <c r="X14" i="4"/>
  <c r="F133" i="3"/>
  <c r="X23" i="20"/>
  <c r="AZ23" i="20"/>
  <c r="AO23" i="20"/>
  <c r="M23" i="20"/>
  <c r="AS23" i="20"/>
  <c r="Q23" i="20"/>
  <c r="I23" i="20"/>
  <c r="AK23" i="20"/>
  <c r="L23" i="20"/>
  <c r="AN23" i="20"/>
  <c r="F132" i="3"/>
  <c r="K23" i="20"/>
  <c r="AM23" i="20"/>
  <c r="P23" i="20"/>
  <c r="AR23" i="20"/>
  <c r="F135" i="3"/>
  <c r="AJ23" i="20"/>
  <c r="H23" i="20"/>
  <c r="F127" i="3"/>
  <c r="F134" i="3"/>
  <c r="E23" i="20"/>
  <c r="AG23" i="20"/>
  <c r="R4" i="4"/>
  <c r="Q14" i="4"/>
  <c r="C12" i="39"/>
  <c r="T59" i="9"/>
  <c r="AT21" i="20"/>
  <c r="R21" i="20"/>
  <c r="AZ20" i="20"/>
  <c r="X20" i="20"/>
  <c r="AZ21" i="20"/>
  <c r="X21" i="20"/>
  <c r="Q21" i="20"/>
  <c r="AS21" i="20"/>
  <c r="W21" i="20"/>
  <c r="AY21" i="20"/>
  <c r="T20" i="20"/>
  <c r="AV20" i="20"/>
  <c r="AY20" i="20"/>
  <c r="W20" i="20"/>
  <c r="Y21" i="20"/>
  <c r="BA21" i="20"/>
  <c r="T21" i="20"/>
  <c r="AV21" i="20"/>
  <c r="I85" i="3"/>
  <c r="E85" i="3"/>
  <c r="T13" i="4" s="1"/>
  <c r="U13" i="4" s="1"/>
  <c r="H105" i="3"/>
  <c r="F75" i="3"/>
  <c r="AW20" i="20"/>
  <c r="U20" i="20"/>
  <c r="AA84" i="3"/>
  <c r="K21" i="20" s="1"/>
  <c r="E84" i="3"/>
  <c r="T12" i="4" s="1"/>
  <c r="U12" i="4" s="1"/>
  <c r="Z104" i="3"/>
  <c r="F74" i="3"/>
  <c r="AY76" i="3"/>
  <c r="E76" i="3"/>
  <c r="T4" i="4" s="1"/>
  <c r="AX21" i="20"/>
  <c r="V21" i="20"/>
  <c r="U80" i="3"/>
  <c r="F80" i="3" s="1"/>
  <c r="E80" i="3"/>
  <c r="T8" i="4" s="1"/>
  <c r="U8" i="4" s="1"/>
  <c r="T100" i="3"/>
  <c r="F70" i="3"/>
  <c r="R78" i="3"/>
  <c r="E78" i="3"/>
  <c r="T6" i="4" s="1"/>
  <c r="U6" i="4" s="1"/>
  <c r="Q98" i="3"/>
  <c r="F68" i="3"/>
  <c r="AC99" i="3"/>
  <c r="F69" i="3"/>
  <c r="U83" i="3"/>
  <c r="F83" i="3" s="1"/>
  <c r="E83" i="3"/>
  <c r="T11" i="4" s="1"/>
  <c r="U11" i="4" s="1"/>
  <c r="T103" i="3"/>
  <c r="F73" i="3"/>
  <c r="P21" i="20"/>
  <c r="AR21" i="20"/>
  <c r="AO97" i="3"/>
  <c r="F67" i="3"/>
  <c r="AJ82" i="3"/>
  <c r="E82" i="3"/>
  <c r="T10" i="4" s="1"/>
  <c r="U10" i="4" s="1"/>
  <c r="AI102" i="3"/>
  <c r="F72" i="3"/>
  <c r="AX101" i="3"/>
  <c r="F71" i="3"/>
  <c r="AL96" i="3"/>
  <c r="F66" i="3"/>
  <c r="R20" i="20"/>
  <c r="AT20" i="20"/>
  <c r="U21" i="20"/>
  <c r="AW21" i="20"/>
  <c r="O79" i="3"/>
  <c r="E79" i="3"/>
  <c r="T7" i="4" s="1"/>
  <c r="U7" i="4" s="1"/>
  <c r="U77" i="3"/>
  <c r="E77" i="3"/>
  <c r="T5" i="4" s="1"/>
  <c r="U5" i="4" s="1"/>
  <c r="AS20" i="20"/>
  <c r="Q20" i="20"/>
  <c r="R81" i="3"/>
  <c r="F81" i="3" s="1"/>
  <c r="E81" i="3"/>
  <c r="T9" i="4" s="1"/>
  <c r="U9" i="4" s="1"/>
  <c r="AN21" i="20"/>
  <c r="L21" i="20"/>
  <c r="R101" i="3"/>
  <c r="K37" i="11"/>
  <c r="G11" i="6"/>
  <c r="H11" i="6" s="1"/>
  <c r="L37" i="11"/>
  <c r="G12" i="6"/>
  <c r="H12" i="6" s="1"/>
  <c r="E37" i="11"/>
  <c r="G5" i="6"/>
  <c r="H5" i="6" s="1"/>
  <c r="J37" i="11"/>
  <c r="G10" i="6"/>
  <c r="H10" i="6" s="1"/>
  <c r="AA105" i="3"/>
  <c r="S59" i="9"/>
  <c r="G9" i="6"/>
  <c r="H9" i="6" s="1"/>
  <c r="I37" i="11"/>
  <c r="O21" i="20"/>
  <c r="AQ21" i="20"/>
  <c r="X99" i="3"/>
  <c r="Y59" i="9"/>
  <c r="F37" i="11"/>
  <c r="G6" i="6"/>
  <c r="H6" i="6" s="1"/>
  <c r="O96" i="3"/>
  <c r="AG103" i="3"/>
  <c r="BH100" i="3"/>
  <c r="AJ98" i="3"/>
  <c r="AO21" i="20"/>
  <c r="M21" i="20"/>
  <c r="J21" i="20"/>
  <c r="AL21" i="20"/>
  <c r="X104" i="3"/>
  <c r="U102" i="3"/>
  <c r="G37" i="11"/>
  <c r="G7" i="6"/>
  <c r="H7" i="6" s="1"/>
  <c r="M37" i="11"/>
  <c r="G13" i="6"/>
  <c r="H13" i="6" s="1"/>
  <c r="Q13" i="39"/>
  <c r="V13" i="39" s="1"/>
  <c r="T13" i="39"/>
  <c r="O13" i="39"/>
  <c r="U13" i="39" s="1"/>
  <c r="S13" i="39"/>
  <c r="M58" i="9"/>
  <c r="P59" i="9"/>
  <c r="L97" i="3"/>
  <c r="F20" i="20" s="1"/>
  <c r="K58" i="9"/>
  <c r="G57" i="9"/>
  <c r="U59" i="9"/>
  <c r="G8" i="6"/>
  <c r="H8" i="6" s="1"/>
  <c r="H37" i="11"/>
  <c r="H57" i="9"/>
  <c r="W59" i="9"/>
  <c r="S12" i="39"/>
  <c r="O12" i="39"/>
  <c r="U12" i="39" s="1"/>
  <c r="T12" i="39"/>
  <c r="Q12" i="39"/>
  <c r="V12" i="39" s="1"/>
  <c r="C8" i="11"/>
  <c r="G4" i="6"/>
  <c r="D37" i="11"/>
  <c r="D4" i="6"/>
  <c r="C13" i="11"/>
  <c r="D42" i="11"/>
  <c r="C42" i="11" s="1"/>
  <c r="K28" i="29"/>
  <c r="M28" i="29" s="1"/>
  <c r="K29" i="29"/>
  <c r="M29" i="29" s="1"/>
  <c r="K30" i="29"/>
  <c r="M30" i="29" s="1"/>
  <c r="K31" i="29"/>
  <c r="M31" i="29" s="1"/>
  <c r="K33" i="29"/>
  <c r="M33" i="29" s="1"/>
  <c r="K34" i="29"/>
  <c r="M34" i="29" s="1"/>
  <c r="K35" i="29"/>
  <c r="M35" i="29" s="1"/>
  <c r="K36" i="29"/>
  <c r="M36" i="29" s="1"/>
  <c r="K37" i="29"/>
  <c r="M37" i="29" s="1"/>
  <c r="K38" i="29"/>
  <c r="M38" i="29" s="1"/>
  <c r="K39" i="29"/>
  <c r="M39" i="29" s="1"/>
  <c r="K32" i="29"/>
  <c r="M32" i="29" s="1"/>
  <c r="I3" i="26"/>
  <c r="F1" i="26"/>
  <c r="K16" i="29"/>
  <c r="M16" i="29" s="1"/>
  <c r="K17" i="29"/>
  <c r="M17" i="29" s="1"/>
  <c r="K19" i="29"/>
  <c r="M19" i="29" s="1"/>
  <c r="K22" i="29"/>
  <c r="M22" i="29" s="1"/>
  <c r="K24" i="29"/>
  <c r="M24" i="29" s="1"/>
  <c r="K26" i="29"/>
  <c r="M26" i="29" s="1"/>
  <c r="K18" i="29"/>
  <c r="M18" i="29" s="1"/>
  <c r="K20" i="29"/>
  <c r="M20" i="29" s="1"/>
  <c r="K21" i="29"/>
  <c r="M21" i="29" s="1"/>
  <c r="K23" i="29"/>
  <c r="M23" i="29" s="1"/>
  <c r="K25" i="29"/>
  <c r="M25" i="29" s="1"/>
  <c r="K27" i="29"/>
  <c r="M27" i="29" s="1"/>
  <c r="K8" i="29"/>
  <c r="K10" i="29"/>
  <c r="K12" i="29"/>
  <c r="K15" i="29"/>
  <c r="M15" i="29" s="1"/>
  <c r="K9" i="29"/>
  <c r="K11" i="29"/>
  <c r="K6" i="29"/>
  <c r="K4" i="29"/>
  <c r="D2" i="29"/>
  <c r="K13" i="29"/>
  <c r="M13" i="29" s="1"/>
  <c r="K14" i="29"/>
  <c r="M14" i="29" s="1"/>
  <c r="K7" i="29"/>
  <c r="K5" i="29"/>
  <c r="I57" i="9"/>
  <c r="Q59" i="9"/>
  <c r="O59" i="9"/>
  <c r="L58" i="9"/>
  <c r="J58" i="9"/>
  <c r="X59" i="9"/>
  <c r="V59" i="9"/>
  <c r="N58" i="9"/>
  <c r="AH21" i="20"/>
  <c r="F21" i="20"/>
  <c r="BA20" i="20"/>
  <c r="Y20" i="20"/>
  <c r="D23" i="20" l="1"/>
  <c r="B4" i="2"/>
  <c r="B14" i="2" s="1"/>
  <c r="E4" i="2"/>
  <c r="E14" i="2" s="1"/>
  <c r="U14" i="6"/>
  <c r="T15" i="6"/>
  <c r="T14" i="6"/>
  <c r="AF23" i="20"/>
  <c r="R15" i="4"/>
  <c r="R14" i="4"/>
  <c r="R19" i="20"/>
  <c r="R15" i="20" s="1"/>
  <c r="AT19" i="20"/>
  <c r="AT15" i="20" s="1"/>
  <c r="AS19" i="20"/>
  <c r="AS15" i="20" s="1"/>
  <c r="Q19" i="20"/>
  <c r="Q15" i="20" s="1"/>
  <c r="AY19" i="20"/>
  <c r="AY15" i="20" s="1"/>
  <c r="W19" i="20"/>
  <c r="W15" i="20" s="1"/>
  <c r="U19" i="20"/>
  <c r="U15" i="20" s="1"/>
  <c r="AW19" i="20"/>
  <c r="AW15" i="20" s="1"/>
  <c r="T19" i="20"/>
  <c r="T15" i="20" s="1"/>
  <c r="AZ19" i="20"/>
  <c r="AZ15" i="20" s="1"/>
  <c r="X19" i="20"/>
  <c r="X15" i="20" s="1"/>
  <c r="I105" i="3"/>
  <c r="AG20" i="20" s="1"/>
  <c r="E105" i="3"/>
  <c r="N13" i="4" s="1"/>
  <c r="AV19" i="20"/>
  <c r="AV15" i="20" s="1"/>
  <c r="AY101" i="3"/>
  <c r="AU20" i="20" s="1"/>
  <c r="E101" i="3"/>
  <c r="N9" i="4" s="1"/>
  <c r="AG21" i="20"/>
  <c r="E21" i="20"/>
  <c r="F85" i="3"/>
  <c r="F84" i="3"/>
  <c r="AM21" i="20"/>
  <c r="AA104" i="3"/>
  <c r="E104" i="3"/>
  <c r="N12" i="4" s="1"/>
  <c r="U100" i="3"/>
  <c r="E100" i="3"/>
  <c r="N8" i="4" s="1"/>
  <c r="F78" i="3"/>
  <c r="H21" i="20"/>
  <c r="AJ21" i="20"/>
  <c r="R98" i="3"/>
  <c r="F98" i="3" s="1"/>
  <c r="E98" i="3"/>
  <c r="N6" i="4" s="1"/>
  <c r="AD99" i="3"/>
  <c r="E99" i="3"/>
  <c r="N7" i="4" s="1"/>
  <c r="U103" i="3"/>
  <c r="F103" i="3" s="1"/>
  <c r="E103" i="3"/>
  <c r="N11" i="4" s="1"/>
  <c r="AP97" i="3"/>
  <c r="F97" i="3" s="1"/>
  <c r="E97" i="3"/>
  <c r="N5" i="4" s="1"/>
  <c r="AP21" i="20"/>
  <c r="F82" i="3"/>
  <c r="N21" i="20"/>
  <c r="AJ102" i="3"/>
  <c r="E102" i="3"/>
  <c r="N10" i="4" s="1"/>
  <c r="AM96" i="3"/>
  <c r="F96" i="3" s="1"/>
  <c r="E96" i="3"/>
  <c r="N4" i="4" s="1"/>
  <c r="AI21" i="20"/>
  <c r="G21" i="20"/>
  <c r="F79" i="3"/>
  <c r="I21" i="20"/>
  <c r="F77" i="3"/>
  <c r="AK21" i="20"/>
  <c r="F76" i="3"/>
  <c r="AU21" i="20"/>
  <c r="S21" i="20"/>
  <c r="BA19" i="20"/>
  <c r="BA15" i="20" s="1"/>
  <c r="Y19" i="20"/>
  <c r="Y15" i="20" s="1"/>
  <c r="U4" i="4"/>
  <c r="T14" i="4"/>
  <c r="AI20" i="20"/>
  <c r="G20" i="20"/>
  <c r="AX20" i="20"/>
  <c r="AX19" i="20" s="1"/>
  <c r="AX15" i="20" s="1"/>
  <c r="V20" i="20"/>
  <c r="V19" i="20" s="1"/>
  <c r="V15" i="20" s="1"/>
  <c r="M20" i="20"/>
  <c r="M19" i="20" s="1"/>
  <c r="M15" i="20" s="1"/>
  <c r="AO20" i="20"/>
  <c r="AO19" i="20" s="1"/>
  <c r="AO15" i="20" s="1"/>
  <c r="AL20" i="20"/>
  <c r="AL19" i="20" s="1"/>
  <c r="AL15" i="20" s="1"/>
  <c r="J20" i="20"/>
  <c r="J19" i="20" s="1"/>
  <c r="J15" i="20" s="1"/>
  <c r="AH20" i="20"/>
  <c r="G15" i="6"/>
  <c r="G14" i="6"/>
  <c r="H4" i="6"/>
  <c r="C37" i="11"/>
  <c r="D14" i="6"/>
  <c r="E4" i="6"/>
  <c r="D15" i="6"/>
  <c r="I1" i="26"/>
  <c r="F57" i="9"/>
  <c r="U8" i="29"/>
  <c r="M8" i="29"/>
  <c r="U10" i="29"/>
  <c r="M10" i="29"/>
  <c r="U12" i="29"/>
  <c r="M12" i="29"/>
  <c r="U9" i="29"/>
  <c r="M9" i="29"/>
  <c r="U11" i="29"/>
  <c r="M11" i="29"/>
  <c r="U6" i="29"/>
  <c r="M6" i="29"/>
  <c r="U4" i="29"/>
  <c r="M4" i="29"/>
  <c r="K1" i="29"/>
  <c r="U7" i="29"/>
  <c r="M7" i="29"/>
  <c r="U5" i="29"/>
  <c r="M5" i="29"/>
  <c r="E59" i="9"/>
  <c r="E58" i="9"/>
  <c r="E28" i="29"/>
  <c r="E16" i="29"/>
  <c r="F19" i="20"/>
  <c r="AG19" i="20" l="1"/>
  <c r="AG15" i="20" s="1"/>
  <c r="E20" i="20"/>
  <c r="E19" i="20" s="1"/>
  <c r="E15" i="20" s="1"/>
  <c r="F105" i="3"/>
  <c r="O13" i="4"/>
  <c r="Z13" i="4"/>
  <c r="AA13" i="4" s="1"/>
  <c r="S20" i="20"/>
  <c r="S19" i="20" s="1"/>
  <c r="S15" i="20" s="1"/>
  <c r="F101" i="3"/>
  <c r="O6" i="4"/>
  <c r="Z6" i="4"/>
  <c r="AA6" i="4" s="1"/>
  <c r="O4" i="4"/>
  <c r="Z4" i="4"/>
  <c r="AA4" i="4" s="1"/>
  <c r="G19" i="20"/>
  <c r="G15" i="20" s="1"/>
  <c r="Z7" i="4"/>
  <c r="AA7" i="4" s="1"/>
  <c r="O7" i="4"/>
  <c r="O11" i="4"/>
  <c r="Z11" i="4"/>
  <c r="AA11" i="4" s="1"/>
  <c r="AP20" i="20"/>
  <c r="AP19" i="20" s="1"/>
  <c r="AP15" i="20" s="1"/>
  <c r="F102" i="3"/>
  <c r="N20" i="20"/>
  <c r="N19" i="20" s="1"/>
  <c r="N15" i="20" s="1"/>
  <c r="O10" i="4"/>
  <c r="Z10" i="4"/>
  <c r="AA10" i="4" s="1"/>
  <c r="O5" i="4"/>
  <c r="Z5" i="4"/>
  <c r="AA5" i="4" s="1"/>
  <c r="N14" i="4"/>
  <c r="AI19" i="20"/>
  <c r="AI15" i="20" s="1"/>
  <c r="O9" i="4"/>
  <c r="Z9" i="4"/>
  <c r="AA9" i="4" s="1"/>
  <c r="K20" i="20"/>
  <c r="K19" i="20" s="1"/>
  <c r="K15" i="20" s="1"/>
  <c r="F104" i="3"/>
  <c r="AM20" i="20"/>
  <c r="AM19" i="20" s="1"/>
  <c r="AM15" i="20" s="1"/>
  <c r="O12" i="4"/>
  <c r="Z12" i="4"/>
  <c r="AA12" i="4" s="1"/>
  <c r="F100" i="3"/>
  <c r="I20" i="20"/>
  <c r="AK20" i="20"/>
  <c r="Z8" i="4"/>
  <c r="O8" i="4"/>
  <c r="H20" i="20"/>
  <c r="H19" i="20" s="1"/>
  <c r="H15" i="20" s="1"/>
  <c r="AJ20" i="20"/>
  <c r="AJ19" i="20" s="1"/>
  <c r="AJ15" i="20" s="1"/>
  <c r="F99" i="3"/>
  <c r="AN20" i="20"/>
  <c r="AN19" i="20" s="1"/>
  <c r="AN15" i="20" s="1"/>
  <c r="L20" i="20"/>
  <c r="L19" i="20" s="1"/>
  <c r="L15" i="20" s="1"/>
  <c r="AR20" i="20"/>
  <c r="AR19" i="20" s="1"/>
  <c r="AR15" i="20" s="1"/>
  <c r="P20" i="20"/>
  <c r="P19" i="20" s="1"/>
  <c r="P15" i="20" s="1"/>
  <c r="AQ20" i="20"/>
  <c r="AQ19" i="20" s="1"/>
  <c r="AQ15" i="20" s="1"/>
  <c r="O20" i="20"/>
  <c r="O19" i="20" s="1"/>
  <c r="O15" i="20" s="1"/>
  <c r="U14" i="4"/>
  <c r="U15" i="4"/>
  <c r="AU19" i="20"/>
  <c r="AU15" i="20" s="1"/>
  <c r="AF21" i="20"/>
  <c r="D21" i="20"/>
  <c r="AH19" i="20"/>
  <c r="H15" i="6"/>
  <c r="H14" i="6"/>
  <c r="E15" i="6"/>
  <c r="E14" i="6"/>
  <c r="E57" i="9"/>
  <c r="G5" i="39" s="1"/>
  <c r="W8" i="29"/>
  <c r="V8" i="29"/>
  <c r="W10" i="29"/>
  <c r="V10" i="29"/>
  <c r="W12" i="29"/>
  <c r="V12" i="29"/>
  <c r="W9" i="29"/>
  <c r="V9" i="29"/>
  <c r="W11" i="29"/>
  <c r="V11" i="29"/>
  <c r="V6" i="29"/>
  <c r="W6" i="29"/>
  <c r="W4" i="29"/>
  <c r="W15" i="29"/>
  <c r="W13" i="29"/>
  <c r="W14" i="29"/>
  <c r="V4" i="29"/>
  <c r="M1" i="29"/>
  <c r="E4" i="29"/>
  <c r="O1" i="32"/>
  <c r="C28" i="29"/>
  <c r="E65" i="26" s="1"/>
  <c r="J65" i="26" s="1"/>
  <c r="K65" i="26" s="1"/>
  <c r="C16" i="29"/>
  <c r="E64" i="26" s="1"/>
  <c r="J64" i="26" s="1"/>
  <c r="K64" i="26" s="1"/>
  <c r="C4" i="29"/>
  <c r="E63" i="26" s="1"/>
  <c r="J63" i="26" s="1"/>
  <c r="K63" i="26" s="1"/>
  <c r="V7" i="29"/>
  <c r="W7" i="29"/>
  <c r="V5" i="29"/>
  <c r="W5" i="29"/>
  <c r="H14" i="26"/>
  <c r="H17" i="26"/>
  <c r="H20" i="26"/>
  <c r="H23" i="26"/>
  <c r="H26" i="26"/>
  <c r="H29" i="26"/>
  <c r="H32" i="26"/>
  <c r="H35" i="26"/>
  <c r="H38" i="26"/>
  <c r="H41" i="26"/>
  <c r="H44" i="26"/>
  <c r="H47" i="26"/>
  <c r="H50" i="26"/>
  <c r="H53" i="26"/>
  <c r="H56" i="26"/>
  <c r="H59" i="26"/>
  <c r="H62" i="26"/>
  <c r="H5" i="26"/>
  <c r="H8" i="26"/>
  <c r="H11" i="26"/>
  <c r="H13" i="26"/>
  <c r="H16" i="26"/>
  <c r="H19" i="26"/>
  <c r="H22" i="26"/>
  <c r="H25" i="26"/>
  <c r="H28" i="26"/>
  <c r="H31" i="26"/>
  <c r="H34" i="26"/>
  <c r="H37" i="26"/>
  <c r="H40" i="26"/>
  <c r="H43" i="26"/>
  <c r="H46" i="26"/>
  <c r="H49" i="26"/>
  <c r="H52" i="26"/>
  <c r="H55" i="26"/>
  <c r="H58" i="26"/>
  <c r="H61" i="26"/>
  <c r="H4" i="26"/>
  <c r="H7" i="26"/>
  <c r="H10" i="26"/>
  <c r="F15" i="20"/>
  <c r="O15" i="4" l="1"/>
  <c r="O14" i="4"/>
  <c r="I19" i="20"/>
  <c r="D20" i="20"/>
  <c r="AK19" i="20"/>
  <c r="AF20" i="20"/>
  <c r="AA8" i="4"/>
  <c r="Z14" i="4"/>
  <c r="AH15" i="20"/>
  <c r="S5" i="39"/>
  <c r="T5" i="39"/>
  <c r="Q5" i="39"/>
  <c r="V5" i="39" s="1"/>
  <c r="O5" i="39"/>
  <c r="U5" i="39" s="1"/>
  <c r="G1" i="37"/>
  <c r="I64" i="37"/>
  <c r="I63" i="37" s="1"/>
  <c r="H9" i="26"/>
  <c r="H6" i="26"/>
  <c r="H3" i="26"/>
  <c r="H60" i="26"/>
  <c r="H57" i="26"/>
  <c r="H54" i="26"/>
  <c r="H51" i="26"/>
  <c r="H48" i="26"/>
  <c r="H45" i="26"/>
  <c r="H42" i="26"/>
  <c r="H39" i="26"/>
  <c r="H36" i="26"/>
  <c r="H33" i="26"/>
  <c r="H30" i="26"/>
  <c r="H27" i="26"/>
  <c r="H24" i="26"/>
  <c r="H21" i="26"/>
  <c r="H18" i="26"/>
  <c r="H15" i="26"/>
  <c r="H12" i="26"/>
  <c r="O5" i="32"/>
  <c r="O17" i="32"/>
  <c r="O15" i="32"/>
  <c r="O23" i="32"/>
  <c r="O20" i="32"/>
  <c r="O10" i="32"/>
  <c r="O11" i="32"/>
  <c r="O8" i="32"/>
  <c r="O13" i="32"/>
  <c r="O9" i="32"/>
  <c r="O12" i="32"/>
  <c r="O19" i="32"/>
  <c r="O21" i="32"/>
  <c r="O4" i="32"/>
  <c r="O6" i="32"/>
  <c r="O3" i="32"/>
  <c r="O7" i="32"/>
  <c r="O18" i="32"/>
  <c r="O14" i="32"/>
  <c r="O22" i="32"/>
  <c r="O16" i="32"/>
  <c r="AA14" i="4" l="1"/>
  <c r="AA15" i="4"/>
  <c r="AA16" i="4" s="1"/>
  <c r="I15" i="20"/>
  <c r="D15" i="20" s="1"/>
  <c r="D19" i="20"/>
  <c r="AK15" i="20"/>
  <c r="AF15" i="20" s="1"/>
  <c r="AF19" i="20"/>
  <c r="D52" i="37"/>
  <c r="I2" i="37"/>
  <c r="G19" i="39"/>
  <c r="E11" i="26"/>
  <c r="J11" i="26" s="1"/>
  <c r="K11" i="26" s="1"/>
  <c r="E10" i="26"/>
  <c r="J10" i="26" s="1"/>
  <c r="K10" i="26" s="1"/>
  <c r="E9" i="26"/>
  <c r="J9" i="26" s="1"/>
  <c r="E47" i="26"/>
  <c r="J47" i="26" s="1"/>
  <c r="K47" i="26" s="1"/>
  <c r="E46" i="26"/>
  <c r="J46" i="26" s="1"/>
  <c r="K46" i="26" s="1"/>
  <c r="E45" i="26"/>
  <c r="J45" i="26" s="1"/>
  <c r="E41" i="26"/>
  <c r="J41" i="26" s="1"/>
  <c r="K41" i="26" s="1"/>
  <c r="E40" i="26"/>
  <c r="J40" i="26" s="1"/>
  <c r="K40" i="26" s="1"/>
  <c r="E39" i="26"/>
  <c r="J39" i="26" s="1"/>
  <c r="E56" i="26"/>
  <c r="J56" i="26" s="1"/>
  <c r="K56" i="26" s="1"/>
  <c r="E54" i="26"/>
  <c r="J54" i="26" s="1"/>
  <c r="E55" i="26"/>
  <c r="J55" i="26" s="1"/>
  <c r="K55" i="26" s="1"/>
  <c r="E25" i="26"/>
  <c r="J25" i="26" s="1"/>
  <c r="K25" i="26" s="1"/>
  <c r="E26" i="26"/>
  <c r="J26" i="26" s="1"/>
  <c r="K26" i="26" s="1"/>
  <c r="E24" i="26"/>
  <c r="J24" i="26" s="1"/>
  <c r="E29" i="26"/>
  <c r="J29" i="26" s="1"/>
  <c r="K29" i="26" s="1"/>
  <c r="E28" i="26"/>
  <c r="J28" i="26" s="1"/>
  <c r="K28" i="26" s="1"/>
  <c r="E27" i="26"/>
  <c r="J27" i="26" s="1"/>
  <c r="E20" i="26"/>
  <c r="J20" i="26" s="1"/>
  <c r="K20" i="26" s="1"/>
  <c r="E19" i="26"/>
  <c r="J19" i="26" s="1"/>
  <c r="K19" i="26" s="1"/>
  <c r="E18" i="26"/>
  <c r="J18" i="26" s="1"/>
  <c r="E35" i="26"/>
  <c r="J35" i="26" s="1"/>
  <c r="K35" i="26" s="1"/>
  <c r="E34" i="26"/>
  <c r="J34" i="26" s="1"/>
  <c r="K34" i="26" s="1"/>
  <c r="E33" i="26"/>
  <c r="J33" i="26" s="1"/>
  <c r="E22" i="26"/>
  <c r="J22" i="26" s="1"/>
  <c r="K22" i="26" s="1"/>
  <c r="E21" i="26"/>
  <c r="J21" i="26" s="1"/>
  <c r="E23" i="26"/>
  <c r="J23" i="26" s="1"/>
  <c r="K23" i="26" s="1"/>
  <c r="E31" i="26"/>
  <c r="J31" i="26" s="1"/>
  <c r="K31" i="26" s="1"/>
  <c r="E32" i="26"/>
  <c r="J32" i="26" s="1"/>
  <c r="K32" i="26" s="1"/>
  <c r="E30" i="26"/>
  <c r="J30" i="26" s="1"/>
  <c r="E51" i="26"/>
  <c r="J51" i="26" s="1"/>
  <c r="E53" i="26"/>
  <c r="J53" i="26" s="1"/>
  <c r="K53" i="26" s="1"/>
  <c r="E52" i="26"/>
  <c r="J52" i="26" s="1"/>
  <c r="K52" i="26" s="1"/>
  <c r="E58" i="26"/>
  <c r="J58" i="26" s="1"/>
  <c r="K58" i="26" s="1"/>
  <c r="E57" i="26"/>
  <c r="J57" i="26" s="1"/>
  <c r="E59" i="26"/>
  <c r="J59" i="26" s="1"/>
  <c r="K59" i="26" s="1"/>
  <c r="E6" i="26"/>
  <c r="J6" i="26" s="1"/>
  <c r="E8" i="26"/>
  <c r="J8" i="26" s="1"/>
  <c r="K8" i="26" s="1"/>
  <c r="E7" i="26"/>
  <c r="J7" i="26" s="1"/>
  <c r="K7" i="26" s="1"/>
  <c r="E12" i="26"/>
  <c r="J12" i="26" s="1"/>
  <c r="E13" i="26"/>
  <c r="J13" i="26" s="1"/>
  <c r="K13" i="26" s="1"/>
  <c r="E14" i="26"/>
  <c r="J14" i="26" s="1"/>
  <c r="K14" i="26" s="1"/>
  <c r="E5" i="26"/>
  <c r="J5" i="26" s="1"/>
  <c r="K5" i="26" s="1"/>
  <c r="E4" i="26"/>
  <c r="J4" i="26" s="1"/>
  <c r="K4" i="26" s="1"/>
  <c r="E3" i="26"/>
  <c r="E15" i="26"/>
  <c r="J15" i="26" s="1"/>
  <c r="E17" i="26"/>
  <c r="J17" i="26" s="1"/>
  <c r="K17" i="26" s="1"/>
  <c r="E16" i="26"/>
  <c r="J16" i="26" s="1"/>
  <c r="K16" i="26" s="1"/>
  <c r="E48" i="26"/>
  <c r="J48" i="26" s="1"/>
  <c r="E50" i="26"/>
  <c r="J50" i="26" s="1"/>
  <c r="K50" i="26" s="1"/>
  <c r="E49" i="26"/>
  <c r="J49" i="26" s="1"/>
  <c r="K49" i="26" s="1"/>
  <c r="E36" i="26"/>
  <c r="J36" i="26" s="1"/>
  <c r="E37" i="26"/>
  <c r="J37" i="26" s="1"/>
  <c r="K37" i="26" s="1"/>
  <c r="E38" i="26"/>
  <c r="J38" i="26" s="1"/>
  <c r="K38" i="26" s="1"/>
  <c r="E61" i="26"/>
  <c r="J61" i="26" s="1"/>
  <c r="K61" i="26" s="1"/>
  <c r="E60" i="26"/>
  <c r="J60" i="26" s="1"/>
  <c r="E62" i="26"/>
  <c r="J62" i="26" s="1"/>
  <c r="K62" i="26" s="1"/>
  <c r="E44" i="26"/>
  <c r="J44" i="26" s="1"/>
  <c r="K44" i="26" s="1"/>
  <c r="E43" i="26"/>
  <c r="J43" i="26" s="1"/>
  <c r="K43" i="26" s="1"/>
  <c r="E42" i="26"/>
  <c r="J42" i="26" s="1"/>
  <c r="K9" i="26" l="1"/>
  <c r="H37" i="9"/>
  <c r="K45" i="26"/>
  <c r="T39" i="9"/>
  <c r="R39" i="9"/>
  <c r="K39" i="26"/>
  <c r="K54" i="26"/>
  <c r="W39" i="9"/>
  <c r="K24" i="26"/>
  <c r="M38" i="9"/>
  <c r="K27" i="26"/>
  <c r="N38" i="9"/>
  <c r="K18" i="26"/>
  <c r="K38" i="9"/>
  <c r="P39" i="9"/>
  <c r="K33" i="26"/>
  <c r="K21" i="26"/>
  <c r="L38" i="9"/>
  <c r="O39" i="9"/>
  <c r="K30" i="26"/>
  <c r="K51" i="26"/>
  <c r="V39" i="9"/>
  <c r="K57" i="26"/>
  <c r="X39" i="9"/>
  <c r="K6" i="26"/>
  <c r="G37" i="9"/>
  <c r="K12" i="26"/>
  <c r="I37" i="9"/>
  <c r="E1" i="26"/>
  <c r="J3" i="26"/>
  <c r="K15" i="26"/>
  <c r="J38" i="9"/>
  <c r="U39" i="9"/>
  <c r="K48" i="26"/>
  <c r="K36" i="26"/>
  <c r="Q39" i="9"/>
  <c r="Y39" i="9"/>
  <c r="K60" i="26"/>
  <c r="K42" i="26"/>
  <c r="S39" i="9"/>
  <c r="H124" i="9" l="1"/>
  <c r="H126" i="9"/>
  <c r="H109" i="9"/>
  <c r="H122" i="9"/>
  <c r="H107" i="9"/>
  <c r="H125" i="9"/>
  <c r="H128" i="9"/>
  <c r="H103" i="9"/>
  <c r="H106" i="9"/>
  <c r="H105" i="9"/>
  <c r="H104" i="9"/>
  <c r="H127" i="9"/>
  <c r="H102" i="9"/>
  <c r="H36" i="9"/>
  <c r="H4" i="9" s="1"/>
  <c r="H129" i="9"/>
  <c r="H108" i="9"/>
  <c r="H123" i="9"/>
  <c r="T36" i="9"/>
  <c r="T4" i="9" s="1"/>
  <c r="T100" i="9"/>
  <c r="T104" i="9"/>
  <c r="T125" i="9"/>
  <c r="T122" i="9"/>
  <c r="T129" i="9"/>
  <c r="T109" i="9"/>
  <c r="T124" i="9"/>
  <c r="T107" i="9"/>
  <c r="T102" i="9"/>
  <c r="T126" i="9"/>
  <c r="T106" i="9"/>
  <c r="T101" i="9"/>
  <c r="T121" i="9"/>
  <c r="T108" i="9"/>
  <c r="T103" i="9"/>
  <c r="T128" i="9"/>
  <c r="T123" i="9"/>
  <c r="T127" i="9"/>
  <c r="T120" i="9"/>
  <c r="T105" i="9"/>
  <c r="R36" i="9"/>
  <c r="R4" i="9" s="1"/>
  <c r="R104" i="9"/>
  <c r="R109" i="9"/>
  <c r="R121" i="9"/>
  <c r="R101" i="9"/>
  <c r="R106" i="9"/>
  <c r="R120" i="9"/>
  <c r="R127" i="9"/>
  <c r="R125" i="9"/>
  <c r="R108" i="9"/>
  <c r="R122" i="9"/>
  <c r="R103" i="9"/>
  <c r="R107" i="9"/>
  <c r="R105" i="9"/>
  <c r="R100" i="9"/>
  <c r="R129" i="9"/>
  <c r="R102" i="9"/>
  <c r="R124" i="9"/>
  <c r="R123" i="9"/>
  <c r="R126" i="9"/>
  <c r="R128" i="9"/>
  <c r="W36" i="9"/>
  <c r="W4" i="9" s="1"/>
  <c r="W101" i="9"/>
  <c r="W100" i="9"/>
  <c r="W122" i="9"/>
  <c r="W128" i="9"/>
  <c r="W120" i="9"/>
  <c r="W109" i="9"/>
  <c r="W124" i="9"/>
  <c r="W125" i="9"/>
  <c r="W106" i="9"/>
  <c r="W103" i="9"/>
  <c r="W105" i="9"/>
  <c r="W123" i="9"/>
  <c r="W108" i="9"/>
  <c r="W121" i="9"/>
  <c r="W107" i="9"/>
  <c r="W102" i="9"/>
  <c r="W104" i="9"/>
  <c r="W129" i="9"/>
  <c r="W126" i="9"/>
  <c r="W127" i="9"/>
  <c r="M36" i="9"/>
  <c r="M4" i="9" s="1"/>
  <c r="M128" i="9"/>
  <c r="M123" i="9"/>
  <c r="M125" i="9"/>
  <c r="M108" i="9"/>
  <c r="M127" i="9"/>
  <c r="M122" i="9"/>
  <c r="M103" i="9"/>
  <c r="M107" i="9"/>
  <c r="M129" i="9"/>
  <c r="M109" i="9"/>
  <c r="M126" i="9"/>
  <c r="M106" i="9"/>
  <c r="M105" i="9"/>
  <c r="M104" i="9"/>
  <c r="M102" i="9"/>
  <c r="M124" i="9"/>
  <c r="N36" i="9"/>
  <c r="N4" i="9" s="1"/>
  <c r="N128" i="9"/>
  <c r="N123" i="9"/>
  <c r="N106" i="9"/>
  <c r="N127" i="9"/>
  <c r="N122" i="9"/>
  <c r="N107" i="9"/>
  <c r="N109" i="9"/>
  <c r="N126" i="9"/>
  <c r="N129" i="9"/>
  <c r="N124" i="9"/>
  <c r="N125" i="9"/>
  <c r="N102" i="9"/>
  <c r="N105" i="9"/>
  <c r="N104" i="9"/>
  <c r="N103" i="9"/>
  <c r="N108" i="9"/>
  <c r="K36" i="9"/>
  <c r="K4" i="9" s="1"/>
  <c r="K102" i="9"/>
  <c r="K127" i="9"/>
  <c r="K103" i="9"/>
  <c r="K126" i="9"/>
  <c r="K128" i="9"/>
  <c r="K109" i="9"/>
  <c r="K129" i="9"/>
  <c r="K124" i="9"/>
  <c r="K105" i="9"/>
  <c r="K108" i="9"/>
  <c r="K123" i="9"/>
  <c r="K107" i="9"/>
  <c r="K122" i="9"/>
  <c r="K106" i="9"/>
  <c r="K104" i="9"/>
  <c r="K125" i="9"/>
  <c r="P36" i="9"/>
  <c r="P4" i="9" s="1"/>
  <c r="P128" i="9"/>
  <c r="P102" i="9"/>
  <c r="P106" i="9"/>
  <c r="P109" i="9"/>
  <c r="P124" i="9"/>
  <c r="P127" i="9"/>
  <c r="P104" i="9"/>
  <c r="P108" i="9"/>
  <c r="P129" i="9"/>
  <c r="P126" i="9"/>
  <c r="P125" i="9"/>
  <c r="P122" i="9"/>
  <c r="P103" i="9"/>
  <c r="P107" i="9"/>
  <c r="P123" i="9"/>
  <c r="P105" i="9"/>
  <c r="L36" i="9"/>
  <c r="L4" i="9" s="1"/>
  <c r="L128" i="9"/>
  <c r="L125" i="9"/>
  <c r="L108" i="9"/>
  <c r="L127" i="9"/>
  <c r="L123" i="9"/>
  <c r="L104" i="9"/>
  <c r="L129" i="9"/>
  <c r="L124" i="9"/>
  <c r="L102" i="9"/>
  <c r="L126" i="9"/>
  <c r="L107" i="9"/>
  <c r="L122" i="9"/>
  <c r="L106" i="9"/>
  <c r="L105" i="9"/>
  <c r="L103" i="9"/>
  <c r="L109" i="9"/>
  <c r="O36" i="9"/>
  <c r="O4" i="9" s="1"/>
  <c r="E39" i="9"/>
  <c r="F9" i="11" s="1"/>
  <c r="O106" i="9"/>
  <c r="O126" i="9"/>
  <c r="O124" i="9"/>
  <c r="O125" i="9"/>
  <c r="O107" i="9"/>
  <c r="O122" i="9"/>
  <c r="O129" i="9"/>
  <c r="O105" i="9"/>
  <c r="O104" i="9"/>
  <c r="O102" i="9"/>
  <c r="O123" i="9"/>
  <c r="O108" i="9"/>
  <c r="O109" i="9"/>
  <c r="O128" i="9"/>
  <c r="O127" i="9"/>
  <c r="O103" i="9"/>
  <c r="V36" i="9"/>
  <c r="V4" i="9" s="1"/>
  <c r="V106" i="9"/>
  <c r="V103" i="9"/>
  <c r="V105" i="9"/>
  <c r="V123" i="9"/>
  <c r="V100" i="9"/>
  <c r="V108" i="9"/>
  <c r="V101" i="9"/>
  <c r="V126" i="9"/>
  <c r="V121" i="9"/>
  <c r="V107" i="9"/>
  <c r="V102" i="9"/>
  <c r="V122" i="9"/>
  <c r="V109" i="9"/>
  <c r="V124" i="9"/>
  <c r="V129" i="9"/>
  <c r="V128" i="9"/>
  <c r="V127" i="9"/>
  <c r="V120" i="9"/>
  <c r="V125" i="9"/>
  <c r="V104" i="9"/>
  <c r="X36" i="9"/>
  <c r="X4" i="9" s="1"/>
  <c r="X101" i="9"/>
  <c r="X105" i="9"/>
  <c r="X100" i="9"/>
  <c r="X109" i="9"/>
  <c r="X120" i="9"/>
  <c r="X126" i="9"/>
  <c r="X123" i="9"/>
  <c r="X103" i="9"/>
  <c r="X129" i="9"/>
  <c r="X106" i="9"/>
  <c r="X107" i="9"/>
  <c r="X121" i="9"/>
  <c r="X104" i="9"/>
  <c r="X127" i="9"/>
  <c r="X102" i="9"/>
  <c r="X122" i="9"/>
  <c r="X124" i="9"/>
  <c r="X128" i="9"/>
  <c r="X125" i="9"/>
  <c r="X108" i="9"/>
  <c r="G102" i="9"/>
  <c r="G108" i="9"/>
  <c r="G106" i="9"/>
  <c r="G128" i="9"/>
  <c r="G127" i="9"/>
  <c r="G126" i="9"/>
  <c r="G107" i="9"/>
  <c r="G124" i="9"/>
  <c r="G122" i="9"/>
  <c r="G123" i="9"/>
  <c r="G103" i="9"/>
  <c r="G105" i="9"/>
  <c r="G109" i="9"/>
  <c r="G129" i="9"/>
  <c r="G104" i="9"/>
  <c r="G36" i="9"/>
  <c r="G4" i="9" s="1"/>
  <c r="G125" i="9"/>
  <c r="I102" i="9"/>
  <c r="I129" i="9"/>
  <c r="I109" i="9"/>
  <c r="I36" i="9"/>
  <c r="I4" i="9" s="1"/>
  <c r="I103" i="9"/>
  <c r="I104" i="9"/>
  <c r="I123" i="9"/>
  <c r="I122" i="9"/>
  <c r="I105" i="9"/>
  <c r="I107" i="9"/>
  <c r="I127" i="9"/>
  <c r="I128" i="9"/>
  <c r="I125" i="9"/>
  <c r="I124" i="9"/>
  <c r="I108" i="9"/>
  <c r="I106" i="9"/>
  <c r="I126" i="9"/>
  <c r="K3" i="26"/>
  <c r="K1" i="26" s="1"/>
  <c r="J1" i="26"/>
  <c r="F37" i="9"/>
  <c r="E38" i="9"/>
  <c r="E9" i="11" s="1"/>
  <c r="J36" i="9"/>
  <c r="J4" i="9" s="1"/>
  <c r="J104" i="9"/>
  <c r="J129" i="9"/>
  <c r="J109" i="9"/>
  <c r="J124" i="9"/>
  <c r="J108" i="9"/>
  <c r="J123" i="9"/>
  <c r="J107" i="9"/>
  <c r="J122" i="9"/>
  <c r="J105" i="9"/>
  <c r="J102" i="9"/>
  <c r="J126" i="9"/>
  <c r="J106" i="9"/>
  <c r="J125" i="9"/>
  <c r="J127" i="9"/>
  <c r="J103" i="9"/>
  <c r="J128" i="9"/>
  <c r="U36" i="9"/>
  <c r="U4" i="9" s="1"/>
  <c r="U125" i="9"/>
  <c r="U109" i="9"/>
  <c r="U103" i="9"/>
  <c r="U101" i="9"/>
  <c r="U107" i="9"/>
  <c r="U122" i="9"/>
  <c r="U128" i="9"/>
  <c r="U104" i="9"/>
  <c r="U106" i="9"/>
  <c r="U124" i="9"/>
  <c r="U105" i="9"/>
  <c r="U100" i="9"/>
  <c r="U127" i="9"/>
  <c r="U120" i="9"/>
  <c r="U126" i="9"/>
  <c r="U108" i="9"/>
  <c r="U123" i="9"/>
  <c r="U121" i="9"/>
  <c r="U102" i="9"/>
  <c r="U129" i="9"/>
  <c r="Q36" i="9"/>
  <c r="Q4" i="9" s="1"/>
  <c r="Q128" i="9"/>
  <c r="Q106" i="9"/>
  <c r="Q104" i="9"/>
  <c r="Q103" i="9"/>
  <c r="Q123" i="9"/>
  <c r="Q125" i="9"/>
  <c r="Q107" i="9"/>
  <c r="Q122" i="9"/>
  <c r="Q129" i="9"/>
  <c r="Q126" i="9"/>
  <c r="Q109" i="9"/>
  <c r="Q105" i="9"/>
  <c r="Q108" i="9"/>
  <c r="Q127" i="9"/>
  <c r="Q124" i="9"/>
  <c r="Q102" i="9"/>
  <c r="Y36" i="9"/>
  <c r="Y4" i="9" s="1"/>
  <c r="Y105" i="9"/>
  <c r="Y103" i="9"/>
  <c r="Y123" i="9"/>
  <c r="Y122" i="9"/>
  <c r="Y125" i="9"/>
  <c r="Y101" i="9"/>
  <c r="Y128" i="9"/>
  <c r="Y104" i="9"/>
  <c r="Y127" i="9"/>
  <c r="Y109" i="9"/>
  <c r="Y120" i="9"/>
  <c r="Y129" i="9"/>
  <c r="Y121" i="9"/>
  <c r="Y100" i="9"/>
  <c r="Y106" i="9"/>
  <c r="Y102" i="9"/>
  <c r="Y108" i="9"/>
  <c r="Y124" i="9"/>
  <c r="Y107" i="9"/>
  <c r="Y126" i="9"/>
  <c r="S36" i="9"/>
  <c r="S4" i="9" s="1"/>
  <c r="S102" i="9"/>
  <c r="S107" i="9"/>
  <c r="S125" i="9"/>
  <c r="S120" i="9"/>
  <c r="S128" i="9"/>
  <c r="S129" i="9"/>
  <c r="S127" i="9"/>
  <c r="S101" i="9"/>
  <c r="S108" i="9"/>
  <c r="S122" i="9"/>
  <c r="S124" i="9"/>
  <c r="S106" i="9"/>
  <c r="S100" i="9"/>
  <c r="S104" i="9"/>
  <c r="S109" i="9"/>
  <c r="S105" i="9"/>
  <c r="S126" i="9"/>
  <c r="S103" i="9"/>
  <c r="S123" i="9"/>
  <c r="S121" i="9"/>
  <c r="E121" i="9" l="1"/>
  <c r="E101" i="9"/>
  <c r="E10" i="11" s="1"/>
  <c r="V6" i="20"/>
  <c r="V5" i="20" s="1"/>
  <c r="AX6" i="20"/>
  <c r="AX5" i="20" s="1"/>
  <c r="F6" i="20"/>
  <c r="F5" i="20" s="1"/>
  <c r="AH6" i="20"/>
  <c r="AH5" i="20" s="1"/>
  <c r="AI10" i="20"/>
  <c r="AI9" i="20" s="1"/>
  <c r="G10" i="20"/>
  <c r="G9" i="20" s="1"/>
  <c r="H99" i="9"/>
  <c r="H77" i="9" s="1"/>
  <c r="S10" i="20"/>
  <c r="S9" i="20" s="1"/>
  <c r="AU10" i="20"/>
  <c r="AU9" i="20" s="1"/>
  <c r="T99" i="9"/>
  <c r="T77" i="9" s="1"/>
  <c r="Q10" i="20"/>
  <c r="Q9" i="20" s="1"/>
  <c r="AS10" i="20"/>
  <c r="AS9" i="20" s="1"/>
  <c r="E100" i="9"/>
  <c r="R99" i="9"/>
  <c r="R77" i="9" s="1"/>
  <c r="V10" i="20"/>
  <c r="V9" i="20" s="1"/>
  <c r="AX10" i="20"/>
  <c r="AX9" i="20" s="1"/>
  <c r="W99" i="9"/>
  <c r="W77" i="9" s="1"/>
  <c r="AN10" i="20"/>
  <c r="AN9" i="20" s="1"/>
  <c r="L10" i="20"/>
  <c r="L9" i="20" s="1"/>
  <c r="M99" i="9"/>
  <c r="M77" i="9" s="1"/>
  <c r="AO10" i="20"/>
  <c r="AO9" i="20" s="1"/>
  <c r="M10" i="20"/>
  <c r="M9" i="20" s="1"/>
  <c r="N99" i="9"/>
  <c r="N77" i="9" s="1"/>
  <c r="J10" i="20"/>
  <c r="J9" i="20" s="1"/>
  <c r="AL10" i="20"/>
  <c r="AL9" i="20" s="1"/>
  <c r="K99" i="9"/>
  <c r="K77" i="9" s="1"/>
  <c r="O10" i="20"/>
  <c r="O9" i="20" s="1"/>
  <c r="AQ10" i="20"/>
  <c r="AQ9" i="20" s="1"/>
  <c r="P99" i="9"/>
  <c r="P77" i="9" s="1"/>
  <c r="AM10" i="20"/>
  <c r="AM9" i="20" s="1"/>
  <c r="K10" i="20"/>
  <c r="K9" i="20" s="1"/>
  <c r="L99" i="9"/>
  <c r="L77" i="9" s="1"/>
  <c r="F38" i="11"/>
  <c r="AP10" i="20"/>
  <c r="AP9" i="20" s="1"/>
  <c r="N10" i="20"/>
  <c r="N9" i="20" s="1"/>
  <c r="O99" i="9"/>
  <c r="O77" i="9" s="1"/>
  <c r="U10" i="20"/>
  <c r="U9" i="20" s="1"/>
  <c r="AW10" i="20"/>
  <c r="AW9" i="20" s="1"/>
  <c r="V99" i="9"/>
  <c r="V77" i="9" s="1"/>
  <c r="AY10" i="20"/>
  <c r="AY9" i="20" s="1"/>
  <c r="W10" i="20"/>
  <c r="W9" i="20" s="1"/>
  <c r="X99" i="9"/>
  <c r="X77" i="9" s="1"/>
  <c r="AH10" i="20"/>
  <c r="AH9" i="20" s="1"/>
  <c r="F10" i="20"/>
  <c r="F9" i="20" s="1"/>
  <c r="G99" i="9"/>
  <c r="G77" i="9" s="1"/>
  <c r="AJ10" i="20"/>
  <c r="AJ9" i="20" s="1"/>
  <c r="H10" i="20"/>
  <c r="H9" i="20" s="1"/>
  <c r="I99" i="9"/>
  <c r="I77" i="9" s="1"/>
  <c r="E37" i="9"/>
  <c r="F106" i="9"/>
  <c r="E106" i="9" s="1"/>
  <c r="F36" i="9"/>
  <c r="F4" i="9" s="1"/>
  <c r="F125" i="9"/>
  <c r="E125" i="9" s="1"/>
  <c r="F103" i="9"/>
  <c r="E103" i="9" s="1"/>
  <c r="F128" i="9"/>
  <c r="E128" i="9" s="1"/>
  <c r="F129" i="9"/>
  <c r="E129" i="9" s="1"/>
  <c r="F105" i="9"/>
  <c r="E105" i="9" s="1"/>
  <c r="F123" i="9"/>
  <c r="E123" i="9" s="1"/>
  <c r="F124" i="9"/>
  <c r="E124" i="9" s="1"/>
  <c r="F122" i="9"/>
  <c r="F104" i="9"/>
  <c r="E104" i="9" s="1"/>
  <c r="F107" i="9"/>
  <c r="E107" i="9" s="1"/>
  <c r="F102" i="9"/>
  <c r="F109" i="9"/>
  <c r="E109" i="9" s="1"/>
  <c r="F108" i="9"/>
  <c r="E108" i="9" s="1"/>
  <c r="F126" i="9"/>
  <c r="E126" i="9" s="1"/>
  <c r="F127" i="9"/>
  <c r="E127" i="9" s="1"/>
  <c r="E38" i="11"/>
  <c r="I10" i="20"/>
  <c r="I9" i="20" s="1"/>
  <c r="AK10" i="20"/>
  <c r="AK9" i="20" s="1"/>
  <c r="J99" i="9"/>
  <c r="J77" i="9" s="1"/>
  <c r="AV10" i="20"/>
  <c r="AV9" i="20" s="1"/>
  <c r="T10" i="20"/>
  <c r="T9" i="20" s="1"/>
  <c r="U99" i="9"/>
  <c r="U77" i="9" s="1"/>
  <c r="AR10" i="20"/>
  <c r="AR9" i="20" s="1"/>
  <c r="P10" i="20"/>
  <c r="P9" i="20" s="1"/>
  <c r="Q99" i="9"/>
  <c r="Q77" i="9" s="1"/>
  <c r="AZ10" i="20"/>
  <c r="AZ9" i="20" s="1"/>
  <c r="X10" i="20"/>
  <c r="X9" i="20" s="1"/>
  <c r="Y99" i="9"/>
  <c r="Y77" i="9" s="1"/>
  <c r="AT10" i="20"/>
  <c r="AT9" i="20" s="1"/>
  <c r="R10" i="20"/>
  <c r="R9" i="20" s="1"/>
  <c r="S99" i="9"/>
  <c r="S77" i="9" s="1"/>
  <c r="G6" i="20"/>
  <c r="G5" i="20" s="1"/>
  <c r="AI6" i="20"/>
  <c r="AI5" i="20" s="1"/>
  <c r="S6" i="20"/>
  <c r="S5" i="20" s="1"/>
  <c r="AU6" i="20"/>
  <c r="AU5" i="20" s="1"/>
  <c r="E120" i="9"/>
  <c r="AS6" i="20"/>
  <c r="AS5" i="20" s="1"/>
  <c r="Q6" i="20"/>
  <c r="Q5" i="20" s="1"/>
  <c r="L6" i="20"/>
  <c r="L5" i="20" s="1"/>
  <c r="AN6" i="20"/>
  <c r="AN5" i="20" s="1"/>
  <c r="M6" i="20"/>
  <c r="M5" i="20" s="1"/>
  <c r="AO6" i="20"/>
  <c r="AO5" i="20" s="1"/>
  <c r="J6" i="20"/>
  <c r="J5" i="20" s="1"/>
  <c r="AL6" i="20"/>
  <c r="AL5" i="20" s="1"/>
  <c r="AQ6" i="20"/>
  <c r="AQ5" i="20" s="1"/>
  <c r="O6" i="20"/>
  <c r="O5" i="20" s="1"/>
  <c r="AM6" i="20"/>
  <c r="AM5" i="20" s="1"/>
  <c r="K6" i="20"/>
  <c r="K5" i="20" s="1"/>
  <c r="AP6" i="20"/>
  <c r="AP5" i="20" s="1"/>
  <c r="N6" i="20"/>
  <c r="N5" i="20" s="1"/>
  <c r="U6" i="20"/>
  <c r="U5" i="20" s="1"/>
  <c r="AW6" i="20"/>
  <c r="AW5" i="20" s="1"/>
  <c r="AY6" i="20"/>
  <c r="AY5" i="20" s="1"/>
  <c r="W6" i="20"/>
  <c r="W5" i="20" s="1"/>
  <c r="AJ6" i="20"/>
  <c r="AJ5" i="20" s="1"/>
  <c r="H6" i="20"/>
  <c r="H5" i="20" s="1"/>
  <c r="I6" i="20"/>
  <c r="I5" i="20" s="1"/>
  <c r="AK6" i="20"/>
  <c r="AK5" i="20" s="1"/>
  <c r="AV6" i="20"/>
  <c r="AV5" i="20" s="1"/>
  <c r="T6" i="20"/>
  <c r="T5" i="20" s="1"/>
  <c r="AR6" i="20"/>
  <c r="AR5" i="20" s="1"/>
  <c r="P6" i="20"/>
  <c r="P5" i="20" s="1"/>
  <c r="AZ6" i="20"/>
  <c r="AZ5" i="20" s="1"/>
  <c r="X6" i="20"/>
  <c r="X5" i="20" s="1"/>
  <c r="AT6" i="20"/>
  <c r="AT5" i="20" s="1"/>
  <c r="R6" i="20"/>
  <c r="R5" i="20" s="1"/>
  <c r="E39" i="11" l="1"/>
  <c r="J5" i="6"/>
  <c r="K5" i="6" s="1"/>
  <c r="I10" i="11"/>
  <c r="H10" i="11"/>
  <c r="M10" i="11"/>
  <c r="L10" i="11"/>
  <c r="D10" i="11"/>
  <c r="E36" i="9"/>
  <c r="G4" i="39"/>
  <c r="D9" i="11"/>
  <c r="E10" i="20"/>
  <c r="AG10" i="20"/>
  <c r="F99" i="9"/>
  <c r="F77" i="9" s="1"/>
  <c r="E102" i="9"/>
  <c r="J10" i="11"/>
  <c r="G10" i="11"/>
  <c r="K10" i="11"/>
  <c r="E122" i="9"/>
  <c r="G10" i="39" s="1"/>
  <c r="AG6" i="20"/>
  <c r="E6" i="20"/>
  <c r="M39" i="11" l="1"/>
  <c r="J13" i="6"/>
  <c r="K13" i="6" s="1"/>
  <c r="I39" i="11"/>
  <c r="J9" i="6"/>
  <c r="K9" i="6" s="1"/>
  <c r="H39" i="11"/>
  <c r="J8" i="6"/>
  <c r="K8" i="6" s="1"/>
  <c r="J12" i="6"/>
  <c r="K12" i="6" s="1"/>
  <c r="L39" i="11"/>
  <c r="F10" i="11"/>
  <c r="E99" i="9"/>
  <c r="G9" i="39"/>
  <c r="Q10" i="39"/>
  <c r="V10" i="39" s="1"/>
  <c r="O10" i="39"/>
  <c r="U10" i="39" s="1"/>
  <c r="T10" i="39"/>
  <c r="S10" i="39"/>
  <c r="D39" i="11"/>
  <c r="C3" i="39"/>
  <c r="E4" i="9"/>
  <c r="T4" i="39"/>
  <c r="Q4" i="39"/>
  <c r="O4" i="39"/>
  <c r="S4" i="39"/>
  <c r="C9" i="11"/>
  <c r="J4" i="6"/>
  <c r="D38" i="11"/>
  <c r="E9" i="20"/>
  <c r="D9" i="20" s="1"/>
  <c r="D10" i="20"/>
  <c r="AG9" i="20"/>
  <c r="AF9" i="20" s="1"/>
  <c r="AF10" i="20"/>
  <c r="J39" i="11"/>
  <c r="J10" i="6"/>
  <c r="K10" i="6" s="1"/>
  <c r="G39" i="11"/>
  <c r="J7" i="6"/>
  <c r="K7" i="6" s="1"/>
  <c r="K39" i="11"/>
  <c r="J11" i="6"/>
  <c r="K11" i="6" s="1"/>
  <c r="AG5" i="20"/>
  <c r="AF6" i="20"/>
  <c r="D6" i="20"/>
  <c r="E5" i="20"/>
  <c r="E77" i="9" l="1"/>
  <c r="C9" i="39"/>
  <c r="G22" i="39"/>
  <c r="Q9" i="39"/>
  <c r="C10" i="11"/>
  <c r="J6" i="6"/>
  <c r="F39" i="11"/>
  <c r="C39" i="11" s="1"/>
  <c r="O9" i="39"/>
  <c r="T9" i="39"/>
  <c r="T22" i="39" s="1"/>
  <c r="S9" i="39"/>
  <c r="S22" i="39" s="1"/>
  <c r="F164" i="9"/>
  <c r="F170" i="9"/>
  <c r="F165" i="9"/>
  <c r="F166" i="9"/>
  <c r="F151" i="9"/>
  <c r="F156" i="9"/>
  <c r="F152" i="9"/>
  <c r="F169" i="9"/>
  <c r="F153" i="9"/>
  <c r="F163" i="9"/>
  <c r="F154" i="9"/>
  <c r="F168" i="9"/>
  <c r="F161" i="9"/>
  <c r="F155" i="9"/>
  <c r="F157" i="9"/>
  <c r="F158" i="9"/>
  <c r="F162" i="9"/>
  <c r="F160" i="9"/>
  <c r="F159" i="9"/>
  <c r="F167" i="9"/>
  <c r="S169" i="9"/>
  <c r="S154" i="9"/>
  <c r="S165" i="9"/>
  <c r="Y162" i="9"/>
  <c r="Y169" i="9"/>
  <c r="Y161" i="9"/>
  <c r="U158" i="9"/>
  <c r="U165" i="9"/>
  <c r="U160" i="9"/>
  <c r="J170" i="9"/>
  <c r="J155" i="9"/>
  <c r="I154" i="9"/>
  <c r="I158" i="9"/>
  <c r="I164" i="9"/>
  <c r="I163" i="9"/>
  <c r="I152" i="9"/>
  <c r="I157" i="9"/>
  <c r="I151" i="9"/>
  <c r="I155" i="9"/>
  <c r="I159" i="9"/>
  <c r="I168" i="9"/>
  <c r="I167" i="9"/>
  <c r="I170" i="9"/>
  <c r="I153" i="9"/>
  <c r="I169" i="9"/>
  <c r="I156" i="9"/>
  <c r="I160" i="9"/>
  <c r="I161" i="9"/>
  <c r="S164" i="9"/>
  <c r="S161" i="9"/>
  <c r="Y163" i="9"/>
  <c r="Y158" i="9"/>
  <c r="Q162" i="9"/>
  <c r="Q165" i="9"/>
  <c r="Q153" i="9"/>
  <c r="U159" i="9"/>
  <c r="J156" i="9"/>
  <c r="J154" i="9"/>
  <c r="I166" i="9"/>
  <c r="G153" i="9"/>
  <c r="G166" i="9"/>
  <c r="X162" i="9"/>
  <c r="X164" i="9"/>
  <c r="X157" i="9"/>
  <c r="X170" i="9"/>
  <c r="S157" i="9"/>
  <c r="S170" i="9"/>
  <c r="Y160" i="9"/>
  <c r="Q164" i="9"/>
  <c r="Q161" i="9"/>
  <c r="U162" i="9"/>
  <c r="U151" i="9"/>
  <c r="U157" i="9"/>
  <c r="J161" i="9"/>
  <c r="J160" i="9"/>
  <c r="G164" i="9"/>
  <c r="G155" i="9"/>
  <c r="G159" i="9"/>
  <c r="G156" i="9"/>
  <c r="G151" i="9"/>
  <c r="X151" i="9"/>
  <c r="X159" i="9"/>
  <c r="X156" i="9"/>
  <c r="X153" i="9"/>
  <c r="X160" i="9"/>
  <c r="X158" i="9"/>
  <c r="X169" i="9"/>
  <c r="X154" i="9"/>
  <c r="X167" i="9"/>
  <c r="X168" i="9"/>
  <c r="X152" i="9"/>
  <c r="X161" i="9"/>
  <c r="X166" i="9"/>
  <c r="X163" i="9"/>
  <c r="V162" i="9"/>
  <c r="V168" i="9"/>
  <c r="V152" i="9"/>
  <c r="V167" i="9"/>
  <c r="V160" i="9"/>
  <c r="V169" i="9"/>
  <c r="V153" i="9"/>
  <c r="V166" i="9"/>
  <c r="V156" i="9"/>
  <c r="V154" i="9"/>
  <c r="V170" i="9"/>
  <c r="V163" i="9"/>
  <c r="V151" i="9"/>
  <c r="V165" i="9"/>
  <c r="V159" i="9"/>
  <c r="V161" i="9"/>
  <c r="V157" i="9"/>
  <c r="V158" i="9"/>
  <c r="V164" i="9"/>
  <c r="V155" i="9"/>
  <c r="S156" i="9"/>
  <c r="S167" i="9"/>
  <c r="S153" i="9"/>
  <c r="Y164" i="9"/>
  <c r="Y153" i="9"/>
  <c r="Q166" i="9"/>
  <c r="U169" i="9"/>
  <c r="U153" i="9"/>
  <c r="U156" i="9"/>
  <c r="J165" i="9"/>
  <c r="J166" i="9"/>
  <c r="O160" i="9"/>
  <c r="O166" i="9"/>
  <c r="O167" i="9"/>
  <c r="O156" i="9"/>
  <c r="O155" i="9"/>
  <c r="O158" i="9"/>
  <c r="O169" i="9"/>
  <c r="O165" i="9"/>
  <c r="O151" i="9"/>
  <c r="O152" i="9"/>
  <c r="O154" i="9"/>
  <c r="O168" i="9"/>
  <c r="S162" i="9"/>
  <c r="S152" i="9"/>
  <c r="Y168" i="9"/>
  <c r="Y159" i="9"/>
  <c r="Q163" i="9"/>
  <c r="Q156" i="9"/>
  <c r="J152" i="9"/>
  <c r="J164" i="9"/>
  <c r="J162" i="9"/>
  <c r="I162" i="9"/>
  <c r="G157" i="9"/>
  <c r="G170" i="9"/>
  <c r="X165" i="9"/>
  <c r="L167" i="9"/>
  <c r="L154" i="9"/>
  <c r="P167" i="9"/>
  <c r="K162" i="9"/>
  <c r="S159" i="9"/>
  <c r="S151" i="9"/>
  <c r="Y157" i="9"/>
  <c r="Y167" i="9"/>
  <c r="Q169" i="9"/>
  <c r="Q152" i="9"/>
  <c r="Q151" i="9"/>
  <c r="G163" i="9"/>
  <c r="O162" i="9"/>
  <c r="O159" i="9"/>
  <c r="L163" i="9"/>
  <c r="L165" i="9"/>
  <c r="L151" i="9"/>
  <c r="L161" i="9"/>
  <c r="L169" i="9"/>
  <c r="P161" i="9"/>
  <c r="P166" i="9"/>
  <c r="P158" i="9"/>
  <c r="P154" i="9"/>
  <c r="K167" i="9"/>
  <c r="K154" i="9"/>
  <c r="K160" i="9"/>
  <c r="N162" i="9"/>
  <c r="N155" i="9"/>
  <c r="N167" i="9"/>
  <c r="N161" i="9"/>
  <c r="N158" i="9"/>
  <c r="N163" i="9"/>
  <c r="N157" i="9"/>
  <c r="N165" i="9"/>
  <c r="N153" i="9"/>
  <c r="N151" i="9"/>
  <c r="N159" i="9"/>
  <c r="N169" i="9"/>
  <c r="N160" i="9"/>
  <c r="N166" i="9"/>
  <c r="N168" i="9"/>
  <c r="N170" i="9"/>
  <c r="N154" i="9"/>
  <c r="N156" i="9"/>
  <c r="N152" i="9"/>
  <c r="N164" i="9"/>
  <c r="M162" i="9"/>
  <c r="M164" i="9"/>
  <c r="M156" i="9"/>
  <c r="M169" i="9"/>
  <c r="M170" i="9"/>
  <c r="M167" i="9"/>
  <c r="M159" i="9"/>
  <c r="M155" i="9"/>
  <c r="S155" i="9"/>
  <c r="S160" i="9"/>
  <c r="Y166" i="9"/>
  <c r="Q168" i="9"/>
  <c r="Q167" i="9"/>
  <c r="U166" i="9"/>
  <c r="U152" i="9"/>
  <c r="U170" i="9"/>
  <c r="J167" i="9"/>
  <c r="G165" i="9"/>
  <c r="G167" i="9"/>
  <c r="G162" i="9"/>
  <c r="L164" i="9"/>
  <c r="P153" i="9"/>
  <c r="K155" i="9"/>
  <c r="S158" i="9"/>
  <c r="Y154" i="9"/>
  <c r="Y151" i="9"/>
  <c r="Y165" i="9"/>
  <c r="Y155" i="9"/>
  <c r="Q154" i="9"/>
  <c r="Q157" i="9"/>
  <c r="Q160" i="9"/>
  <c r="Q159" i="9"/>
  <c r="U161" i="9"/>
  <c r="U154" i="9"/>
  <c r="U164" i="9"/>
  <c r="U167" i="9"/>
  <c r="J157" i="9"/>
  <c r="J153" i="9"/>
  <c r="J168" i="9"/>
  <c r="J151" i="9"/>
  <c r="I165" i="9"/>
  <c r="G168" i="9"/>
  <c r="G169" i="9"/>
  <c r="G158" i="9"/>
  <c r="X155" i="9"/>
  <c r="O163" i="9"/>
  <c r="O157" i="9"/>
  <c r="O164" i="9"/>
  <c r="L162" i="9"/>
  <c r="L168" i="9"/>
  <c r="L166" i="9"/>
  <c r="L170" i="9"/>
  <c r="L160" i="9"/>
  <c r="P157" i="9"/>
  <c r="P168" i="9"/>
  <c r="P156" i="9"/>
  <c r="P160" i="9"/>
  <c r="P164" i="9"/>
  <c r="P151" i="9"/>
  <c r="P170" i="9"/>
  <c r="P163" i="9"/>
  <c r="P165" i="9"/>
  <c r="K159" i="9"/>
  <c r="K158" i="9"/>
  <c r="K151" i="9"/>
  <c r="K156" i="9"/>
  <c r="K170" i="9"/>
  <c r="K152" i="9"/>
  <c r="K157" i="9"/>
  <c r="K169" i="9"/>
  <c r="K165" i="9"/>
  <c r="M152" i="9"/>
  <c r="M151" i="9"/>
  <c r="M168" i="9"/>
  <c r="M163" i="9"/>
  <c r="M154" i="9"/>
  <c r="M165" i="9"/>
  <c r="M157" i="9"/>
  <c r="W162" i="9"/>
  <c r="W168" i="9"/>
  <c r="W163" i="9"/>
  <c r="W160" i="9"/>
  <c r="W157" i="9"/>
  <c r="W167" i="9"/>
  <c r="W151" i="9"/>
  <c r="W170" i="9"/>
  <c r="W154" i="9"/>
  <c r="W155" i="9"/>
  <c r="W169" i="9"/>
  <c r="W165" i="9"/>
  <c r="R152" i="9"/>
  <c r="R154" i="9"/>
  <c r="R168" i="9"/>
  <c r="R155" i="9"/>
  <c r="R153" i="9"/>
  <c r="R163" i="9"/>
  <c r="R169" i="9"/>
  <c r="R157" i="9"/>
  <c r="R159" i="9"/>
  <c r="R167" i="9"/>
  <c r="R164" i="9"/>
  <c r="R165" i="9"/>
  <c r="R170" i="9"/>
  <c r="R160" i="9"/>
  <c r="R161" i="9"/>
  <c r="R158" i="9"/>
  <c r="R151" i="9"/>
  <c r="R166" i="9"/>
  <c r="R156" i="9"/>
  <c r="T162" i="9"/>
  <c r="T170" i="9"/>
  <c r="T154" i="9"/>
  <c r="T153" i="9"/>
  <c r="T156" i="9"/>
  <c r="T151" i="9"/>
  <c r="T167" i="9"/>
  <c r="T161" i="9"/>
  <c r="T152" i="9"/>
  <c r="T157" i="9"/>
  <c r="T160" i="9"/>
  <c r="T166" i="9"/>
  <c r="T159" i="9"/>
  <c r="T163" i="9"/>
  <c r="T168" i="9"/>
  <c r="T155" i="9"/>
  <c r="T165" i="9"/>
  <c r="S168" i="9"/>
  <c r="S163" i="9"/>
  <c r="S166" i="9"/>
  <c r="Y170" i="9"/>
  <c r="Y156" i="9"/>
  <c r="Y152" i="9"/>
  <c r="Q158" i="9"/>
  <c r="Q170" i="9"/>
  <c r="Q155" i="9"/>
  <c r="U168" i="9"/>
  <c r="U155" i="9"/>
  <c r="U163" i="9"/>
  <c r="J158" i="9"/>
  <c r="J159" i="9"/>
  <c r="J169" i="9"/>
  <c r="J163" i="9"/>
  <c r="G160" i="9"/>
  <c r="G152" i="9"/>
  <c r="G161" i="9"/>
  <c r="G154" i="9"/>
  <c r="O161" i="9"/>
  <c r="O170" i="9"/>
  <c r="O153" i="9"/>
  <c r="L158" i="9"/>
  <c r="L159" i="9"/>
  <c r="L157" i="9"/>
  <c r="L155" i="9"/>
  <c r="L152" i="9"/>
  <c r="L153" i="9"/>
  <c r="L156" i="9"/>
  <c r="P162" i="9"/>
  <c r="P152" i="9"/>
  <c r="P155" i="9"/>
  <c r="P159" i="9"/>
  <c r="P169" i="9"/>
  <c r="K153" i="9"/>
  <c r="K163" i="9"/>
  <c r="K168" i="9"/>
  <c r="K166" i="9"/>
  <c r="K164" i="9"/>
  <c r="K161" i="9"/>
  <c r="M160" i="9"/>
  <c r="M166" i="9"/>
  <c r="M158" i="9"/>
  <c r="M161" i="9"/>
  <c r="M153" i="9"/>
  <c r="W161" i="9"/>
  <c r="W152" i="9"/>
  <c r="W153" i="9"/>
  <c r="W164" i="9"/>
  <c r="W156" i="9"/>
  <c r="W159" i="9"/>
  <c r="W166" i="9"/>
  <c r="W158" i="9"/>
  <c r="R162" i="9"/>
  <c r="T169" i="9"/>
  <c r="T158" i="9"/>
  <c r="T164" i="9"/>
  <c r="H163" i="9"/>
  <c r="H166" i="9"/>
  <c r="H165" i="9"/>
  <c r="H154" i="9"/>
  <c r="H152" i="9"/>
  <c r="H153" i="9"/>
  <c r="H160" i="9"/>
  <c r="H161" i="9"/>
  <c r="H167" i="9"/>
  <c r="H170" i="9"/>
  <c r="H168" i="9"/>
  <c r="H151" i="9"/>
  <c r="H155" i="9"/>
  <c r="H157" i="9"/>
  <c r="H156" i="9"/>
  <c r="H158" i="9"/>
  <c r="H164" i="9"/>
  <c r="H159" i="9"/>
  <c r="H169" i="9"/>
  <c r="H162" i="9"/>
  <c r="Z167" i="9"/>
  <c r="Z165" i="9"/>
  <c r="Z155" i="9"/>
  <c r="Z169" i="9"/>
  <c r="Z151" i="9"/>
  <c r="Z158" i="9"/>
  <c r="Z166" i="9"/>
  <c r="Z164" i="9"/>
  <c r="Z156" i="9"/>
  <c r="Z168" i="9"/>
  <c r="Z162" i="9"/>
  <c r="Z153" i="9"/>
  <c r="Z170" i="9"/>
  <c r="Z152" i="9"/>
  <c r="Z159" i="9"/>
  <c r="Z154" i="9"/>
  <c r="Z163" i="9"/>
  <c r="Z161" i="9"/>
  <c r="Z160" i="9"/>
  <c r="Z157" i="9"/>
  <c r="V4" i="39"/>
  <c r="U4" i="39"/>
  <c r="K4" i="6"/>
  <c r="C38" i="11"/>
  <c r="AF5" i="20"/>
  <c r="D5" i="20"/>
  <c r="V9" i="39" l="1"/>
  <c r="Q22" i="39"/>
  <c r="U9" i="39"/>
  <c r="O22" i="39"/>
  <c r="K6" i="6"/>
  <c r="J15" i="6"/>
  <c r="J14" i="6"/>
  <c r="F150" i="9"/>
  <c r="E13" i="20" s="1"/>
  <c r="E151" i="9"/>
  <c r="AG13" i="20"/>
  <c r="AJ13" i="20"/>
  <c r="AJ3" i="20" s="1"/>
  <c r="I150" i="9"/>
  <c r="H13" i="20" s="1"/>
  <c r="H3" i="20" s="1"/>
  <c r="U150" i="9"/>
  <c r="T13" i="20" s="1"/>
  <c r="T3" i="20" s="1"/>
  <c r="AV13" i="20"/>
  <c r="AV3" i="20" s="1"/>
  <c r="AH13" i="20"/>
  <c r="AH3" i="20" s="1"/>
  <c r="G150" i="9"/>
  <c r="F13" i="20" s="1"/>
  <c r="F3" i="20" s="1"/>
  <c r="X150" i="9"/>
  <c r="W13" i="20" s="1"/>
  <c r="W3" i="20" s="1"/>
  <c r="AY13" i="20"/>
  <c r="AY3" i="20" s="1"/>
  <c r="AW13" i="20"/>
  <c r="AW3" i="20" s="1"/>
  <c r="V150" i="9"/>
  <c r="U13" i="20" s="1"/>
  <c r="U3" i="20" s="1"/>
  <c r="AP13" i="20"/>
  <c r="AP3" i="20" s="1"/>
  <c r="O150" i="9"/>
  <c r="N13" i="20" s="1"/>
  <c r="N3" i="20" s="1"/>
  <c r="AT13" i="20"/>
  <c r="AT3" i="20" s="1"/>
  <c r="S150" i="9"/>
  <c r="R13" i="20" s="1"/>
  <c r="R3" i="20" s="1"/>
  <c r="Q150" i="9"/>
  <c r="P13" i="20" s="1"/>
  <c r="P3" i="20" s="1"/>
  <c r="AR13" i="20"/>
  <c r="AR3" i="20" s="1"/>
  <c r="AM13" i="20"/>
  <c r="AM3" i="20" s="1"/>
  <c r="L150" i="9"/>
  <c r="K13" i="20" s="1"/>
  <c r="K3" i="20" s="1"/>
  <c r="AO13" i="20"/>
  <c r="AO3" i="20" s="1"/>
  <c r="N150" i="9"/>
  <c r="M13" i="20" s="1"/>
  <c r="M3" i="20" s="1"/>
  <c r="AZ13" i="20"/>
  <c r="AZ3" i="20" s="1"/>
  <c r="Y150" i="9"/>
  <c r="X13" i="20" s="1"/>
  <c r="X3" i="20" s="1"/>
  <c r="AK13" i="20"/>
  <c r="AK3" i="20" s="1"/>
  <c r="J150" i="9"/>
  <c r="I13" i="20" s="1"/>
  <c r="I3" i="20" s="1"/>
  <c r="AQ13" i="20"/>
  <c r="AQ3" i="20" s="1"/>
  <c r="P150" i="9"/>
  <c r="O13" i="20" s="1"/>
  <c r="O3" i="20" s="1"/>
  <c r="AL13" i="20"/>
  <c r="AL3" i="20" s="1"/>
  <c r="K150" i="9"/>
  <c r="J13" i="20" s="1"/>
  <c r="J3" i="20" s="1"/>
  <c r="AN13" i="20"/>
  <c r="AN3" i="20" s="1"/>
  <c r="M150" i="9"/>
  <c r="L13" i="20" s="1"/>
  <c r="L3" i="20" s="1"/>
  <c r="AX13" i="20"/>
  <c r="AX3" i="20" s="1"/>
  <c r="W150" i="9"/>
  <c r="V13" i="20" s="1"/>
  <c r="V3" i="20" s="1"/>
  <c r="R150" i="9"/>
  <c r="Q13" i="20" s="1"/>
  <c r="Q3" i="20" s="1"/>
  <c r="AS13" i="20"/>
  <c r="AS3" i="20" s="1"/>
  <c r="AU13" i="20"/>
  <c r="AU3" i="20" s="1"/>
  <c r="T150" i="9"/>
  <c r="S13" i="20" s="1"/>
  <c r="S3" i="20" s="1"/>
  <c r="AI13" i="20"/>
  <c r="AI3" i="20" s="1"/>
  <c r="H150" i="9"/>
  <c r="G13" i="20" s="1"/>
  <c r="G3" i="20" s="1"/>
  <c r="BA13" i="20"/>
  <c r="BA3" i="20" s="1"/>
  <c r="Z150" i="9"/>
  <c r="Y13" i="20" s="1"/>
  <c r="Y3" i="20" s="1"/>
  <c r="E164" i="9"/>
  <c r="E170" i="9"/>
  <c r="E165" i="9"/>
  <c r="E166" i="9"/>
  <c r="E156" i="9"/>
  <c r="E152" i="9"/>
  <c r="E169" i="9"/>
  <c r="E153" i="9"/>
  <c r="E163" i="9"/>
  <c r="E154" i="9"/>
  <c r="E168" i="9"/>
  <c r="E161" i="9"/>
  <c r="E155" i="9"/>
  <c r="E157" i="9"/>
  <c r="E158" i="9"/>
  <c r="E162" i="9"/>
  <c r="E160" i="9"/>
  <c r="E159" i="9"/>
  <c r="E167" i="9"/>
  <c r="I14" i="11" l="1"/>
  <c r="H14" i="11"/>
  <c r="K14" i="6"/>
  <c r="K15" i="6"/>
  <c r="E14" i="11"/>
  <c r="G14" i="11"/>
  <c r="C17" i="39"/>
  <c r="J14" i="11"/>
  <c r="K14" i="11"/>
  <c r="E3" i="20"/>
  <c r="D3" i="20" s="1"/>
  <c r="D13" i="20"/>
  <c r="D14" i="11"/>
  <c r="E150" i="9"/>
  <c r="C15" i="39"/>
  <c r="AG3" i="20"/>
  <c r="AF3" i="20" s="1"/>
  <c r="AF13" i="20"/>
  <c r="F14" i="11"/>
  <c r="M14" i="11"/>
  <c r="L14" i="11"/>
  <c r="I15" i="11" l="1"/>
  <c r="I43" i="11"/>
  <c r="I44" i="11" s="1"/>
  <c r="P9" i="6"/>
  <c r="P8" i="6"/>
  <c r="H15" i="11"/>
  <c r="H43" i="11"/>
  <c r="H44" i="11" s="1"/>
  <c r="C22" i="39"/>
  <c r="E15" i="11"/>
  <c r="P5" i="6"/>
  <c r="E43" i="11"/>
  <c r="E44" i="11" s="1"/>
  <c r="P7" i="6"/>
  <c r="G43" i="11"/>
  <c r="G44" i="11" s="1"/>
  <c r="G15" i="11"/>
  <c r="J43" i="11"/>
  <c r="J44" i="11" s="1"/>
  <c r="P10" i="6"/>
  <c r="J15" i="11"/>
  <c r="P11" i="6"/>
  <c r="K43" i="11"/>
  <c r="K44" i="11" s="1"/>
  <c r="K15" i="11"/>
  <c r="D15" i="11"/>
  <c r="C14" i="11"/>
  <c r="C15" i="11" s="1"/>
  <c r="D43" i="11"/>
  <c r="P4" i="6"/>
  <c r="F15" i="11"/>
  <c r="F43" i="11"/>
  <c r="F44" i="11" s="1"/>
  <c r="P6" i="6"/>
  <c r="M43" i="11"/>
  <c r="M44" i="11" s="1"/>
  <c r="P13" i="6"/>
  <c r="M15" i="11"/>
  <c r="L43" i="11"/>
  <c r="L44" i="11" s="1"/>
  <c r="P12" i="6"/>
  <c r="L15" i="11"/>
  <c r="V9" i="6" l="1"/>
  <c r="Q9" i="6"/>
  <c r="V8" i="6"/>
  <c r="Q8" i="6"/>
  <c r="V7" i="6"/>
  <c r="Q7" i="6"/>
  <c r="V10" i="6"/>
  <c r="Q10" i="6"/>
  <c r="Q11" i="6"/>
  <c r="V11" i="6"/>
  <c r="F11" i="2" s="1"/>
  <c r="G11" i="2" s="1"/>
  <c r="J11" i="2" s="1"/>
  <c r="Q5" i="6"/>
  <c r="V5" i="6"/>
  <c r="F5" i="2" s="1"/>
  <c r="G5" i="2" s="1"/>
  <c r="J5" i="2" s="1"/>
  <c r="D44" i="11"/>
  <c r="C44" i="11" s="1"/>
  <c r="C43" i="11"/>
  <c r="V4" i="6"/>
  <c r="P15" i="6"/>
  <c r="P14" i="6"/>
  <c r="Q4" i="6"/>
  <c r="V6" i="6"/>
  <c r="Q6" i="6"/>
  <c r="V13" i="6"/>
  <c r="Q13" i="6"/>
  <c r="V12" i="6"/>
  <c r="Q12" i="6"/>
  <c r="F8" i="2" l="1"/>
  <c r="G8" i="2" s="1"/>
  <c r="J8" i="2" s="1"/>
  <c r="C8" i="2"/>
  <c r="D8" i="2" s="1"/>
  <c r="I8" i="2" s="1"/>
  <c r="W8" i="6"/>
  <c r="F9" i="2"/>
  <c r="G9" i="2" s="1"/>
  <c r="J9" i="2" s="1"/>
  <c r="C9" i="2"/>
  <c r="D9" i="2" s="1"/>
  <c r="I9" i="2" s="1"/>
  <c r="W9" i="6"/>
  <c r="C7" i="2"/>
  <c r="D7" i="2" s="1"/>
  <c r="I7" i="2" s="1"/>
  <c r="F7" i="2"/>
  <c r="G7" i="2" s="1"/>
  <c r="J7" i="2" s="1"/>
  <c r="W7" i="6"/>
  <c r="W10" i="6"/>
  <c r="F10" i="2"/>
  <c r="G10" i="2" s="1"/>
  <c r="J10" i="2" s="1"/>
  <c r="C10" i="2"/>
  <c r="D10" i="2" s="1"/>
  <c r="I10" i="2" s="1"/>
  <c r="W11" i="6"/>
  <c r="C11" i="2"/>
  <c r="D11" i="2" s="1"/>
  <c r="I11" i="2" s="1"/>
  <c r="C5" i="2"/>
  <c r="D5" i="2" s="1"/>
  <c r="I5" i="2" s="1"/>
  <c r="W5" i="6"/>
  <c r="C4" i="2"/>
  <c r="W4" i="6"/>
  <c r="V15" i="6"/>
  <c r="J17" i="2" s="1"/>
  <c r="B2" i="7" s="1"/>
  <c r="V14" i="6"/>
  <c r="F4" i="2"/>
  <c r="Q14" i="6"/>
  <c r="Q15" i="6"/>
  <c r="C6" i="2"/>
  <c r="D6" i="2" s="1"/>
  <c r="I6" i="2" s="1"/>
  <c r="W6" i="6"/>
  <c r="F6" i="2"/>
  <c r="G6" i="2" s="1"/>
  <c r="J6" i="2" s="1"/>
  <c r="C13" i="2"/>
  <c r="D13" i="2" s="1"/>
  <c r="I13" i="2" s="1"/>
  <c r="W13" i="6"/>
  <c r="F13" i="2"/>
  <c r="G13" i="2" s="1"/>
  <c r="J13" i="2" s="1"/>
  <c r="W12" i="6"/>
  <c r="C12" i="2"/>
  <c r="D12" i="2" s="1"/>
  <c r="I12" i="2" s="1"/>
  <c r="F12" i="2"/>
  <c r="G12" i="2" s="1"/>
  <c r="J12" i="2" s="1"/>
  <c r="C14" i="2" l="1"/>
  <c r="D4" i="2"/>
  <c r="W15" i="6"/>
  <c r="W14" i="6"/>
  <c r="R7" i="7"/>
  <c r="F7" i="7"/>
  <c r="C7" i="7"/>
  <c r="L7" i="7"/>
  <c r="C26" i="7"/>
  <c r="C42" i="7"/>
  <c r="O7" i="7"/>
  <c r="I7" i="7"/>
  <c r="F14" i="2"/>
  <c r="G4" i="2"/>
  <c r="D14" i="2" l="1"/>
  <c r="J18" i="2"/>
  <c r="I4" i="2"/>
  <c r="I14" i="2" s="1"/>
  <c r="J21" i="2" s="1"/>
  <c r="J4" i="2"/>
  <c r="G14" i="2"/>
  <c r="J19" i="2"/>
  <c r="J14" i="2" l="1"/>
  <c r="J22" i="2" s="1"/>
  <c r="K4" i="2"/>
  <c r="K5" i="2" l="1"/>
  <c r="K6" i="2" s="1"/>
  <c r="K7" i="2" s="1"/>
  <c r="K8" i="2" s="1"/>
  <c r="K9" i="2" s="1"/>
  <c r="K10" i="2" s="1"/>
  <c r="K11" i="2" s="1"/>
  <c r="K12" i="2" s="1"/>
  <c r="K13" i="2" s="1"/>
  <c r="L4" i="2"/>
  <c r="L5" i="2" l="1"/>
  <c r="L6" i="2" s="1"/>
  <c r="L7" i="2" s="1"/>
  <c r="L8" i="2" s="1"/>
  <c r="L9" i="2" s="1"/>
  <c r="L10" i="2" s="1"/>
  <c r="L11" i="2" s="1"/>
  <c r="L12" i="2" s="1"/>
  <c r="L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3" authorId="0" shapeId="0" xr:uid="{00000000-0006-0000-0F00-000001000000}">
      <text>
        <r>
          <rPr>
            <b/>
            <sz val="9"/>
            <color indexed="81"/>
            <rFont val="Segoe UI"/>
            <family val="2"/>
          </rPr>
          <t>USER1:</t>
        </r>
        <r>
          <rPr>
            <sz val="9"/>
            <color indexed="81"/>
            <rFont val="Segoe UI"/>
            <family val="2"/>
          </rPr>
          <t xml:space="preserve">
V tejto záložke je potrebné transformvoať odhadovnú prácnosť projektu na jednotlivé etapy projektu:
 - analýza a dizajn
 - implementácia a testovanie
 - nasadenie
Rovnako je potrebné definovať pozície, ktoré sa na projekte budú podieľať.
Počty MDs pre dané pozície sú vypočítané z celkovej predpokladanej náročnosti projektu * % podielu danej etapy na projekte * % podiel pozície na danej etape projektu</t>
        </r>
      </text>
    </comment>
    <comment ref="B3" authorId="0" shapeId="0" xr:uid="{00000000-0006-0000-0F00-000002000000}">
      <text>
        <r>
          <rPr>
            <b/>
            <sz val="9"/>
            <color indexed="81"/>
            <rFont val="Segoe UI"/>
            <family val="2"/>
          </rPr>
          <t>USER1:</t>
        </r>
        <r>
          <rPr>
            <sz val="9"/>
            <color indexed="81"/>
            <rFont val="Segoe UI"/>
            <family val="2"/>
          </rPr>
          <t xml:space="preserve">
Možné zadať % hodnoty pre danú etapu projektu vyjadrené v % z celkového počtu potrebných kapacít
Celková hodnota za všetky etapy projektu musí byť 100%. V opačnom prípade budú hodnoty zvýrazené červenou</t>
        </r>
      </text>
    </comment>
    <comment ref="E3" authorId="0" shapeId="0" xr:uid="{00000000-0006-0000-0F00-000003000000}">
      <text>
        <r>
          <rPr>
            <b/>
            <sz val="9"/>
            <color indexed="81"/>
            <rFont val="Segoe UI"/>
            <family val="2"/>
          </rPr>
          <t>USER1:</t>
        </r>
        <r>
          <rPr>
            <sz val="9"/>
            <color indexed="81"/>
            <rFont val="Segoe UI"/>
            <family val="2"/>
          </rPr>
          <t xml:space="preserve">
Priemerná vážená sadzba je potrebná pre rozdelenie nákladov v záložke Rozpoct - Vyvoje aplikacie</t>
        </r>
      </text>
    </comment>
    <comment ref="F3" authorId="0" shapeId="0" xr:uid="{00000000-0006-0000-0F00-000004000000}">
      <text>
        <r>
          <rPr>
            <b/>
            <sz val="9"/>
            <color indexed="81"/>
            <rFont val="Segoe UI"/>
            <family val="2"/>
          </rPr>
          <t>USER1:</t>
        </r>
        <r>
          <rPr>
            <sz val="9"/>
            <color indexed="81"/>
            <rFont val="Segoe UI"/>
            <family val="2"/>
          </rPr>
          <t xml:space="preserve">
Je potrebné vybrať pozície, ktoré sa na danej etape budú podieľať. Výber je z preddefinovaného číselníka pozícií.</t>
        </r>
      </text>
    </comment>
    <comment ref="J3" authorId="0" shapeId="0" xr:uid="{00000000-0006-0000-0F00-000005000000}">
      <text>
        <r>
          <rPr>
            <b/>
            <sz val="9"/>
            <color indexed="81"/>
            <rFont val="Segoe UI"/>
            <family val="2"/>
          </rPr>
          <t>USER1:</t>
        </r>
        <r>
          <rPr>
            <sz val="9"/>
            <color indexed="81"/>
            <rFont val="Segoe UI"/>
            <family val="2"/>
          </rPr>
          <t xml:space="preserve">
Je potrebné stanoviť %, ktorým bude participovať daná pozícia na etape. Suma % za všetky pozície na danej etape musí byť 100%.
V opačnom prípade budú hodnoty označené červenou farbou</t>
        </r>
      </text>
    </comment>
    <comment ref="Q3" authorId="0" shapeId="0" xr:uid="{00000000-0006-0000-0F00-000006000000}">
      <text>
        <r>
          <rPr>
            <b/>
            <sz val="9"/>
            <color rgb="FF000000"/>
            <rFont val="Segoe UI"/>
            <family val="2"/>
            <charset val="1"/>
          </rPr>
          <t>USER1:</t>
        </r>
        <r>
          <rPr>
            <sz val="9"/>
            <color rgb="FF000000"/>
            <rFont val="Segoe UI"/>
            <family val="2"/>
            <charset val="1"/>
          </rPr>
          <t xml:space="preserve">
Číselník pozícií je možné doplniť o špecifické pozície a zladiť ak je to možné s dokumentom revízie výdavkov na informatizáciu</t>
        </r>
      </text>
    </comment>
    <comment ref="R3" authorId="0" shapeId="0" xr:uid="{00000000-0006-0000-0F00-000007000000}">
      <text>
        <r>
          <rPr>
            <b/>
            <sz val="9"/>
            <color rgb="FF000000"/>
            <rFont val="Segoe UI"/>
            <family val="2"/>
            <charset val="1"/>
          </rPr>
          <t>USER1:</t>
        </r>
        <r>
          <rPr>
            <sz val="9"/>
            <color rgb="FF000000"/>
            <rFont val="Segoe UI"/>
            <family val="2"/>
            <charset val="1"/>
          </rPr>
          <t xml:space="preserve">
Je potrebné stanoviť predpokladanú hodnotu sadzby pre danú pozíciu. Hodnota nesmie prekročiť referenčný limit pre niektoré pozície stanovaný revíziou výdavkov na informatizáciu resp. musí splniť pravidlá stanovené metodickým pokynom pre CBA.
V opačnom prípade je zvýrazená oranžovou farbou.</t>
        </r>
      </text>
    </comment>
    <comment ref="W3" authorId="0" shapeId="0" xr:uid="{00000000-0006-0000-0F00-000008000000}">
      <text>
        <r>
          <rPr>
            <b/>
            <sz val="9"/>
            <color indexed="81"/>
            <rFont val="Segoe UI"/>
            <family val="2"/>
          </rPr>
          <t>USER1:</t>
        </r>
        <r>
          <rPr>
            <sz val="9"/>
            <color indexed="81"/>
            <rFont val="Segoe UI"/>
            <family val="2"/>
          </rPr>
          <t xml:space="preserve">
V tajto časti možno vidieť podiel pozície na celkovm počte MDs pre daný projekt. 
V prípade, ak je hodnota vyššia ako hodnota satanovená príručkou je tejto fakt zvýrazený ako NAD.
V opačnom prípade, je súlad označný ako OK.</t>
        </r>
      </text>
    </comment>
    <comment ref="B4" authorId="0" shapeId="0" xr:uid="{00000000-0006-0000-0F00-000009000000}">
      <text>
        <r>
          <rPr>
            <b/>
            <sz val="9"/>
            <color indexed="81"/>
            <rFont val="Segoe UI"/>
            <family val="2"/>
          </rPr>
          <t>USER1:</t>
        </r>
        <r>
          <rPr>
            <sz val="9"/>
            <color indexed="81"/>
            <rFont val="Segoe UI"/>
            <family val="2"/>
          </rPr>
          <t xml:space="preserve">
10% - 35%</t>
        </r>
      </text>
    </comment>
    <comment ref="B16" authorId="0" shapeId="0" xr:uid="{00000000-0006-0000-0F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30% - 80%</t>
        </r>
      </text>
    </comment>
    <comment ref="B28" authorId="0" shapeId="0" xr:uid="{00000000-0006-0000-0F00-00000B000000}">
      <text>
        <r>
          <rPr>
            <b/>
            <sz val="9"/>
            <color indexed="81"/>
            <rFont val="Segoe UI"/>
            <family val="2"/>
          </rPr>
          <t>USER1:</t>
        </r>
        <r>
          <rPr>
            <sz val="9"/>
            <color indexed="81"/>
            <rFont val="Segoe UI"/>
            <family val="2"/>
          </rPr>
          <t xml:space="preserve">
15% - 30%</t>
        </r>
      </text>
    </comment>
    <comment ref="B40" authorId="0" shapeId="0" xr:uid="{00000000-0006-0000-0F00-00000C000000}">
      <text>
        <r>
          <rPr>
            <b/>
            <sz val="9"/>
            <color indexed="81"/>
            <rFont val="Segoe UI"/>
            <family val="2"/>
          </rPr>
          <t>USER1:</t>
        </r>
        <r>
          <rPr>
            <sz val="9"/>
            <color indexed="81"/>
            <rFont val="Segoe UI"/>
            <family val="2"/>
          </rPr>
          <t xml:space="preserve">
Je potrebné stanoviť dĺžku trvania danej podpornej oblasti projektu, pričom následne sa táto hodnota využije na definovanie počtu MDs pre danú pozíciu na oblasti.</t>
        </r>
      </text>
    </comment>
    <comment ref="F40" authorId="0" shapeId="0" xr:uid="{00000000-0006-0000-0F00-00000D000000}">
      <text>
        <r>
          <rPr>
            <b/>
            <sz val="9"/>
            <color indexed="81"/>
            <rFont val="Segoe UI"/>
            <family val="2"/>
          </rPr>
          <t>USER1:</t>
        </r>
        <r>
          <rPr>
            <sz val="9"/>
            <color indexed="81"/>
            <rFont val="Segoe UI"/>
            <family val="2"/>
          </rPr>
          <t xml:space="preserve">
Je potrebné vybrať pozície, ktoré sa na danej podpornej oblasti budú podieľať. Výber je z preddefinovaného číselníka pozícií.</t>
        </r>
      </text>
    </comment>
    <comment ref="J40" authorId="0" shapeId="0" xr:uid="{00000000-0006-0000-0F00-00000E000000}">
      <text>
        <r>
          <rPr>
            <b/>
            <sz val="9"/>
            <color indexed="81"/>
            <rFont val="Segoe UI"/>
            <family val="2"/>
          </rPr>
          <t>USER1:</t>
        </r>
        <r>
          <rPr>
            <sz val="9"/>
            <color indexed="81"/>
            <rFont val="Segoe UI"/>
            <family val="2"/>
          </rPr>
          <t xml:space="preserve">
Jedná sa o stanovenie alokácie danej pozície na podpornej oblasti vyjadrenej FTE (full time equvivalent)
Ak požadujem napr.:
 - 1 PM IT projektu aby sa venoval riadeniu na 50%, tak v bunke sa uvedie hodnota 0,5.
 - 2 Finančných manažérov, pričom jeden bude FULL TIME a druhý na 50%, počas trvania podpornej oblasti, uvedie sa hodnota 1,5 
a pod.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Q1" authorId="0" shapeId="0" xr:uid="{00000000-0006-0000-1000-000001000000}">
      <text>
        <r>
          <rPr>
            <b/>
            <sz val="9"/>
            <color indexed="81"/>
            <rFont val="Segoe UI"/>
            <family val="2"/>
          </rPr>
          <t>USER1:</t>
        </r>
        <r>
          <rPr>
            <sz val="9"/>
            <color indexed="81"/>
            <rFont val="Segoe UI"/>
            <family val="2"/>
          </rPr>
          <t xml:space="preserve">
Potrebné určiť hodnotu odvodoveho koeficientu zamestnávateľa - napr. 0,3595 (ak neprispieva do garančného fondu), alebo 0,362 (ak prispieva do garančného fondu), alebo iné - podľa typu zamestnaneckého pomeru</t>
        </r>
      </text>
    </comment>
    <comment ref="Q2" authorId="0" shapeId="0" xr:uid="{00000000-0006-0000-1000-000002000000}">
      <text>
        <r>
          <rPr>
            <b/>
            <sz val="9"/>
            <color rgb="FF000000"/>
            <rFont val="Segoe UI"/>
            <family val="2"/>
            <charset val="1"/>
          </rPr>
          <t>USER1:</t>
        </r>
        <r>
          <rPr>
            <sz val="9"/>
            <color rgb="FF000000"/>
            <rFont val="Segoe UI"/>
            <family val="2"/>
            <charset val="1"/>
          </rPr>
          <t xml:space="preserve">
Je možné stanoviť % odmeny z hrubej mzdy.
V prípade projektov z PSK sú odmeny súčasťou maximálnej hod. sadzby (nie je možné využiť túto formu uplatnenia). 
Hodnota by nemala vybočovať s štandardov v danej organizácií pre obdobné pozície. 
</t>
        </r>
      </text>
    </comment>
    <comment ref="A3" authorId="0" shapeId="0" xr:uid="{00000000-0006-0000-1000-000003000000}">
      <text>
        <r>
          <rPr>
            <b/>
            <sz val="9"/>
            <color indexed="81"/>
            <rFont val="Segoe UI"/>
            <family val="2"/>
          </rPr>
          <t>USER1:</t>
        </r>
        <r>
          <rPr>
            <sz val="9"/>
            <color indexed="81"/>
            <rFont val="Segoe UI"/>
            <family val="2"/>
          </rPr>
          <t xml:space="preserve">
V tejto záložke má možnosť klient naplánovať interné zdroje na projekt, pričom sa jedná o pridelenie pozícií k danej etape projektu alebo podpornej oblasti projektu a stanovenie ich utilizácie na danej etape alebo oblasti.</t>
        </r>
      </text>
    </comment>
    <comment ref="B3" authorId="0" shapeId="0" xr:uid="{00000000-0006-0000-1000-000004000000}">
      <text>
        <r>
          <rPr>
            <b/>
            <sz val="9"/>
            <color rgb="FF000000"/>
            <rFont val="Segoe UI"/>
            <family val="2"/>
            <charset val="1"/>
          </rPr>
          <t>USER1:</t>
        </r>
        <r>
          <rPr>
            <sz val="9"/>
            <color rgb="FF000000"/>
            <rFont val="Segoe UI"/>
            <family val="2"/>
            <charset val="1"/>
          </rPr>
          <t xml:space="preserve">
Je potrebné stanoviť dĺžku trvania danej etapy projektu alebo podpornej oblasti projektu, pričom následne sa táto hodnota využije na definovanie počtu MDs pre danú pozíciu na etape alebo oblasti.</t>
        </r>
      </text>
    </comment>
    <comment ref="C3" authorId="0" shapeId="0" xr:uid="{00000000-0006-0000-1000-000005000000}">
      <text>
        <r>
          <rPr>
            <b/>
            <sz val="9"/>
            <color rgb="FF000000"/>
            <rFont val="Segoe UI"/>
            <family val="2"/>
            <charset val="1"/>
          </rPr>
          <t>USER1:</t>
        </r>
        <r>
          <rPr>
            <sz val="9"/>
            <color rgb="FF000000"/>
            <rFont val="Segoe UI"/>
            <family val="2"/>
            <charset val="1"/>
          </rPr>
          <t xml:space="preserve">
Ide o sumár počtu MDs pre danú etapu projektu alebo podpornú oblasť projektu za všetky pozície</t>
        </r>
      </text>
    </comment>
    <comment ref="D3" authorId="0" shapeId="0" xr:uid="{00000000-0006-0000-10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Táto hodnota sa použie na rozloženie nákladov na moduly v záložke Rozpočet - vyvoj aplikácie</t>
        </r>
      </text>
    </comment>
    <comment ref="E3" authorId="0" shapeId="0" xr:uid="{00000000-0006-0000-1000-000007000000}">
      <text>
        <r>
          <rPr>
            <b/>
            <sz val="9"/>
            <color rgb="FF000000"/>
            <rFont val="Segoe UI"/>
            <family val="2"/>
            <charset val="1"/>
          </rPr>
          <t>USER1:</t>
        </r>
        <r>
          <rPr>
            <sz val="9"/>
            <color rgb="FF000000"/>
            <rFont val="Segoe UI"/>
            <family val="2"/>
            <charset val="1"/>
          </rPr>
          <t xml:space="preserve">
Je potrebné vybrať pozície, ktoré sa na danej etape projektu alebo podpornej oblasti projektu budú podieľať. Výber je z preddefinovaného číselníka pozícií, ktorý je možné dopĺňať podľa potreby o pozície, ktoré nie sú štandardizovane pomenované.</t>
        </r>
      </text>
    </comment>
    <comment ref="F3" authorId="0" shapeId="0" xr:uid="{00000000-0006-0000-1000-000008000000}">
      <text>
        <r>
          <rPr>
            <b/>
            <sz val="9"/>
            <color rgb="FF000000"/>
            <rFont val="Segoe UI"/>
            <family val="2"/>
            <charset val="1"/>
          </rPr>
          <t>USER1:</t>
        </r>
        <r>
          <rPr>
            <sz val="9"/>
            <color rgb="FF000000"/>
            <rFont val="Segoe UI"/>
            <family val="2"/>
            <charset val="1"/>
          </rPr>
          <t xml:space="preserve">
Jedná sa o stanovenie alokácie danej pozície na etape projektu alebo podpornej oblasti projektu vyjadrenej v honote % z jej 100% pracovnej náplne.
Ak mám napr. IT architekta a chcem aby sa podieľal na analýze svojimi 30 % tak uvedená hodnota bude 30%</t>
        </r>
      </text>
    </comment>
    <comment ref="G3" authorId="0" shapeId="0" xr:uid="{00000000-0006-0000-1000-000009000000}">
      <text>
        <r>
          <rPr>
            <b/>
            <sz val="9"/>
            <color indexed="81"/>
            <rFont val="Segoe UI"/>
            <family val="2"/>
          </rPr>
          <t>USER1:</t>
        </r>
        <r>
          <rPr>
            <sz val="9"/>
            <color indexed="81"/>
            <rFont val="Segoe UI"/>
            <family val="2"/>
          </rPr>
          <t xml:space="preserve">
Jedná sa o počet MDs danej pozície na etape projektu alebo podpornej oblasti projektu, vypočítanej ako počet pozícií * trvanie etapy alebo oblasti * % utilizácie na projekte * 20 dní v mesiaci</t>
        </r>
      </text>
    </comment>
    <comment ref="M3" authorId="0" shapeId="0" xr:uid="{00000000-0006-0000-1000-00000A000000}">
      <text>
        <r>
          <rPr>
            <b/>
            <sz val="9"/>
            <color indexed="81"/>
            <rFont val="Segoe UI"/>
            <family val="2"/>
          </rPr>
          <t>USER1:</t>
        </r>
        <r>
          <rPr>
            <sz val="9"/>
            <color indexed="81"/>
            <rFont val="Segoe UI"/>
            <family val="2"/>
          </rPr>
          <t xml:space="preserve">
Jedná sa o preddefinovaný číselník pozícií, ktorý je možné doplniť v prípade potreby o špecifické pozície</t>
        </r>
      </text>
    </comment>
    <comment ref="O3" authorId="0" shapeId="0" xr:uid="{00000000-0006-0000-1000-00000B000000}">
      <text>
        <r>
          <rPr>
            <b/>
            <sz val="9"/>
            <color indexed="81"/>
            <rFont val="Segoe UI"/>
            <family val="2"/>
          </rPr>
          <t>USER1:</t>
        </r>
        <r>
          <rPr>
            <sz val="9"/>
            <color indexed="81"/>
            <rFont val="Segoe UI"/>
            <family val="2"/>
          </rPr>
          <t xml:space="preserve">
Jedná sa o stanovenie počtu pozícii, ktoré na projekte budú participovať. Napr. budeme mať 2 Analytikov a 1 IT Architekta</t>
        </r>
      </text>
    </comment>
    <comment ref="P3" authorId="0" shapeId="0" xr:uid="{00000000-0006-0000-1000-00000C000000}">
      <text>
        <r>
          <rPr>
            <b/>
            <sz val="9"/>
            <color indexed="81"/>
            <rFont val="Segoe UI"/>
            <family val="2"/>
          </rPr>
          <t>USER1:</t>
        </r>
        <r>
          <rPr>
            <sz val="9"/>
            <color indexed="81"/>
            <rFont val="Segoe UI"/>
            <family val="2"/>
          </rPr>
          <t xml:space="preserve">
Jedná sa o stanovenie osobných hodinových nákladov na danú pozíciu. Teda o tzv. suberhrubú mzdu, ktorá zohľadňuje aj náklady na strane zamestanávateľa.
Hodnota by nemala vybočovať so štandardizovaných osobných nákladov v danej organizácií pre obdobené pozície. 
Rovnako by nemala presiahnúť stanovené limity v zmysle metodickej príručky, ak sa jedná o EŠIF projekty.</t>
        </r>
      </text>
    </comment>
    <comment ref="U3" authorId="0" shapeId="0" xr:uid="{00000000-0006-0000-1000-00000D000000}">
      <text>
        <r>
          <rPr>
            <b/>
            <sz val="9"/>
            <color indexed="81"/>
            <rFont val="Segoe UI"/>
            <family val="2"/>
          </rPr>
          <t>USER1:</t>
        </r>
        <r>
          <rPr>
            <sz val="9"/>
            <color indexed="81"/>
            <rFont val="Segoe UI"/>
            <family val="2"/>
          </rPr>
          <t xml:space="preserve">
Jedná sa o maximálnu možnú sadzbu v zmysle príručky pre žiadateľov PSK, ktorá je nasledovná:
 - hlavné etapy
       - 25€/hodina - hrubá mzda (vrátane prípadnej odmeny)
 - podporne oblasti - odporúčaná max 15 €/hodina - hrubá mzda (pri projektoch mimo PSK). Pri projektoch PSK sú uplatňované paušálne výdavky.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100-000001000000}">
      <text>
        <r>
          <rPr>
            <b/>
            <sz val="9"/>
            <color indexed="81"/>
            <rFont val="Segoe UI"/>
            <family val="2"/>
          </rPr>
          <t>USER1:</t>
        </r>
        <r>
          <rPr>
            <sz val="9"/>
            <color indexed="81"/>
            <rFont val="Segoe UI"/>
            <family val="2"/>
          </rPr>
          <t xml:space="preserve">
Je potrebné vybrať modul, pre ktorý boli definované náklady na vývoj aplikácie. 
Každý modul je potrebné priradiť ku všetkým etapám projektu. 
Následne budú všetky nákaldy na moduly prepočítané ako pre:
 - interné zdroje - cez váhu nákladov modulov na celkových odhadovanýych nákladoch vývoja aplikácií
 - externé zdroje - rovnako cez váhu modulov na projekte</t>
        </r>
      </text>
    </comment>
    <comment ref="D2" authorId="0" shapeId="0" xr:uid="{00000000-0006-0000-1100-000002000000}">
      <text>
        <r>
          <rPr>
            <b/>
            <sz val="9"/>
            <color indexed="81"/>
            <rFont val="Segoe UI"/>
            <family val="2"/>
          </rPr>
          <t>USER1:</t>
        </r>
        <r>
          <rPr>
            <sz val="9"/>
            <color indexed="81"/>
            <rFont val="Segoe UI"/>
            <family val="2"/>
          </rPr>
          <t xml:space="preserve">
V prípade potreby možno doplniť detailizáciu pre daný modul a danú etapu</t>
        </r>
      </text>
    </comment>
    <comment ref="K2" authorId="0" shapeId="0" xr:uid="{00000000-0006-0000-1100-000003000000}">
      <text>
        <r>
          <rPr>
            <b/>
            <sz val="9"/>
            <color indexed="81"/>
            <rFont val="Segoe UI"/>
            <family val="2"/>
          </rPr>
          <t>USER1:</t>
        </r>
        <r>
          <rPr>
            <sz val="9"/>
            <color indexed="81"/>
            <rFont val="Segoe UI"/>
            <family val="2"/>
          </rPr>
          <t xml:space="preserve">
Náklady sú následne transformované do záložky TCO TO BE - SW do časti vývoj aplikácií</t>
        </r>
      </text>
    </comment>
    <comment ref="L2" authorId="0" shapeId="0" xr:uid="{00000000-0006-0000-1100-000004000000}">
      <text>
        <r>
          <rPr>
            <b/>
            <sz val="9"/>
            <color indexed="81"/>
            <rFont val="Segoe UI"/>
            <family val="2"/>
          </rPr>
          <t>USER1:</t>
        </r>
        <r>
          <rPr>
            <sz val="9"/>
            <color indexed="81"/>
            <rFont val="Segoe UI"/>
            <family val="2"/>
          </rPr>
          <t xml:space="preserve">
V prípade potreby je možné doplniť potrebné poznámky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1300-000001000000}">
      <text>
        <r>
          <rPr>
            <b/>
            <sz val="9"/>
            <color indexed="81"/>
            <rFont val="Segoe UI"/>
            <family val="2"/>
          </rPr>
          <t>USER1:</t>
        </r>
        <r>
          <rPr>
            <sz val="9"/>
            <color indexed="81"/>
            <rFont val="Segoe UI"/>
            <family val="2"/>
          </rPr>
          <t xml:space="preserve">
Pre každú zadefinovanú položku je potrebné stanoviť aj modul, pre ktorý je daná položka plánovaná.</t>
        </r>
      </text>
    </comment>
    <comment ref="B2" authorId="0" shapeId="0" xr:uid="{00000000-0006-0000-1300-000002000000}">
      <text>
        <r>
          <rPr>
            <b/>
            <sz val="9"/>
            <color indexed="81"/>
            <rFont val="Segoe UI"/>
            <family val="2"/>
          </rPr>
          <t>USER1:</t>
        </r>
        <r>
          <rPr>
            <sz val="9"/>
            <color indexed="81"/>
            <rFont val="Segoe UI"/>
            <family val="2"/>
          </rPr>
          <t xml:space="preserve">
Potrebné pomenovať položku, ktorá bude predmetom dodávky</t>
        </r>
      </text>
    </comment>
    <comment ref="C2" authorId="0" shapeId="0" xr:uid="{00000000-0006-0000-1300-000003000000}">
      <text>
        <r>
          <rPr>
            <b/>
            <sz val="9"/>
            <color indexed="81"/>
            <rFont val="Segoe UI"/>
            <family val="2"/>
          </rPr>
          <t>USER1:</t>
        </r>
        <r>
          <rPr>
            <sz val="9"/>
            <color indexed="81"/>
            <rFont val="Segoe UI"/>
            <family val="2"/>
          </rPr>
          <t xml:space="preserve">
Je potrebné vybrať z nasledovných možností, aby sa dali náklady transformovať následne do príslušných zošitov:
 - HW - TCO TO BE - HW
 - SW pre HW - TCO TO BE - HW
 - SW - TCO TO BE - SW</t>
        </r>
      </text>
    </comment>
    <comment ref="D2" authorId="0" shapeId="0" xr:uid="{00000000-0006-0000-1300-000004000000}">
      <text>
        <r>
          <rPr>
            <b/>
            <sz val="9"/>
            <color indexed="81"/>
            <rFont val="Segoe UI"/>
            <family val="2"/>
          </rPr>
          <t>USER1:</t>
        </r>
        <r>
          <rPr>
            <sz val="9"/>
            <color indexed="81"/>
            <rFont val="Segoe UI"/>
            <family val="2"/>
          </rPr>
          <t xml:space="preserve">
Účtovná položka slúži na správne zaradenie nákladov podľa účtových položiek to TCO TO BE - SW alebo TCO TO BE - HW.
Pre TCO TO BE - HW použite položky 022 a 112
Pre TCO TO BE - SW použitie položku 013</t>
        </r>
      </text>
    </comment>
    <comment ref="E2" authorId="0" shapeId="0" xr:uid="{00000000-0006-0000-1300-000005000000}">
      <text>
        <r>
          <rPr>
            <b/>
            <sz val="9"/>
            <color indexed="81"/>
            <rFont val="Segoe UI"/>
            <family val="2"/>
          </rPr>
          <t>USER1:</t>
        </r>
        <r>
          <rPr>
            <sz val="9"/>
            <color indexed="81"/>
            <rFont val="Segoe UI"/>
            <family val="2"/>
          </rPr>
          <t xml:space="preserve">
Predstavuje mernú jednotku pre danú položku - väčšinou sa jedná o takú jednotku na ktorú je viazaná cenotvorba</t>
        </r>
      </text>
    </comment>
    <comment ref="F2" authorId="0" shapeId="0" xr:uid="{00000000-0006-0000-1300-000006000000}">
      <text>
        <r>
          <rPr>
            <b/>
            <sz val="9"/>
            <color indexed="81"/>
            <rFont val="Segoe UI"/>
            <family val="2"/>
          </rPr>
          <t>USER1:</t>
        </r>
        <r>
          <rPr>
            <sz val="9"/>
            <color indexed="81"/>
            <rFont val="Segoe UI"/>
            <family val="2"/>
          </rPr>
          <t xml:space="preserve">
Stanovíte počet jednotiek danej položky</t>
        </r>
      </text>
    </comment>
    <comment ref="G2" authorId="0" shapeId="0" xr:uid="{00000000-0006-0000-1300-000007000000}">
      <text>
        <r>
          <rPr>
            <b/>
            <sz val="9"/>
            <color indexed="81"/>
            <rFont val="Segoe UI"/>
            <family val="2"/>
          </rPr>
          <t>USER1:</t>
        </r>
        <r>
          <rPr>
            <sz val="9"/>
            <color indexed="81"/>
            <rFont val="Segoe UI"/>
            <family val="2"/>
          </rPr>
          <t xml:space="preserve">
Predstavuje rok, v ktorom by mali byť položky dodané. 
Na základe stanoveného roku sa naplánujú aj predmetné náklady do daného roku.
Jedná sa o stanovenie císelnej hodnoty od 1 - 10, ktora predstavuje rok trvania projektu v ktoriom sa doda predmetná položka - viď. metodika</t>
        </r>
      </text>
    </comment>
    <comment ref="H2" authorId="0" shapeId="0" xr:uid="{00000000-0006-0000-1300-000008000000}">
      <text>
        <r>
          <rPr>
            <b/>
            <sz val="9"/>
            <color indexed="81"/>
            <rFont val="Segoe UI"/>
            <family val="2"/>
          </rPr>
          <t>USER1:</t>
        </r>
        <r>
          <rPr>
            <sz val="9"/>
            <color indexed="81"/>
            <rFont val="Segoe UI"/>
            <family val="2"/>
          </rPr>
          <t xml:space="preserve">
Jedná sa o stanovenie jednotkovej ceny danej položky, ktorá vstupuje do celkových nákladov danej položky</t>
        </r>
      </text>
    </comment>
    <comment ref="J2" authorId="0" shapeId="0" xr:uid="{00000000-0006-0000-1300-000009000000}">
      <text>
        <r>
          <rPr>
            <b/>
            <sz val="9"/>
            <color indexed="81"/>
            <rFont val="Segoe UI"/>
            <family val="2"/>
          </rPr>
          <t>USER1:</t>
        </r>
        <r>
          <rPr>
            <sz val="9"/>
            <color indexed="81"/>
            <rFont val="Segoe UI"/>
            <family val="2"/>
          </rPr>
          <t xml:space="preserve">
Je potrebné jasne stanoviť z akého zdroja boli ceny prebraté. Väčšinou sa jedná či už o existujúce zmluvy alebo o prieskum trhu alebo o cenníkové ceny potenciálneho dodávateľa a pod.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400-000001000000}">
      <text>
        <r>
          <rPr>
            <b/>
            <sz val="9"/>
            <color indexed="81"/>
            <rFont val="Segoe UI"/>
            <family val="2"/>
          </rPr>
          <t>USER1:</t>
        </r>
        <r>
          <rPr>
            <sz val="9"/>
            <color indexed="81"/>
            <rFont val="Segoe UI"/>
            <family val="2"/>
          </rPr>
          <t xml:space="preserve">
Táto záložka slúži na vytvorenie relatívne rýchleho harmonogramu projektu cez mesiace trvania etáp a jeho gantovej podoby.
V prvom momente je potrebné vybrať moduly pre ktoré sa harmonogram tvorí.</t>
        </r>
      </text>
    </comment>
    <comment ref="D2" authorId="0" shapeId="0" xr:uid="{00000000-0006-0000-1400-000002000000}">
      <text>
        <r>
          <rPr>
            <b/>
            <sz val="9"/>
            <color indexed="81"/>
            <rFont val="Segoe UI"/>
            <family val="2"/>
          </rPr>
          <t>USER1:</t>
        </r>
        <r>
          <rPr>
            <sz val="9"/>
            <color indexed="81"/>
            <rFont val="Segoe UI"/>
            <family val="2"/>
          </rPr>
          <t xml:space="preserve">
Po výbere modulu sa dotiahne príslušný inkrement, v ktorom má byť modul dodaný aj s dátumom začiatku a konca daného inkrementu.</t>
        </r>
      </text>
    </comment>
    <comment ref="G2" authorId="0" shapeId="0" xr:uid="{00000000-0006-0000-1400-000003000000}">
      <text>
        <r>
          <rPr>
            <b/>
            <sz val="9"/>
            <color indexed="81"/>
            <rFont val="Segoe UI"/>
            <family val="2"/>
          </rPr>
          <t>USER1:</t>
        </r>
        <r>
          <rPr>
            <sz val="9"/>
            <color indexed="81"/>
            <rFont val="Segoe UI"/>
            <family val="2"/>
          </rPr>
          <t xml:space="preserve">
Pre každý inkrement sa stanoví začiatočný mesiac inkrementu z pohľadu celého projektu.
Pre daľšie etapy projektu je potrebné zvoliť ich začiatočný mesiac (od začiatku projektu)</t>
        </r>
      </text>
    </comment>
    <comment ref="H2" authorId="0" shapeId="0" xr:uid="{00000000-0006-0000-1400-000004000000}">
      <text>
        <r>
          <rPr>
            <b/>
            <sz val="9"/>
            <color indexed="81"/>
            <rFont val="Segoe UI"/>
            <family val="2"/>
          </rPr>
          <t>USER1:</t>
        </r>
        <r>
          <rPr>
            <sz val="9"/>
            <color indexed="81"/>
            <rFont val="Segoe UI"/>
            <family val="2"/>
          </rPr>
          <t xml:space="preserve">
Jedná sa o technický parameter pre potreby Gant Chartu</t>
        </r>
      </text>
    </comment>
    <comment ref="I2" authorId="0" shapeId="0" xr:uid="{00000000-0006-0000-1400-000005000000}">
      <text>
        <r>
          <rPr>
            <b/>
            <sz val="9"/>
            <color indexed="81"/>
            <rFont val="Segoe UI"/>
            <family val="2"/>
          </rPr>
          <t>USER1:</t>
        </r>
        <r>
          <rPr>
            <sz val="9"/>
            <color indexed="81"/>
            <rFont val="Segoe UI"/>
            <family val="2"/>
          </rPr>
          <t xml:space="preserve">
Pre každú etapu projektu (orekm poslednej - ta je dopočítaná automaticky) je ptorebné stanoviť dobu trvania v mesiacoch.</t>
        </r>
      </text>
    </comment>
    <comment ref="J2" authorId="0" shapeId="0" xr:uid="{00000000-0006-0000-1400-000006000000}">
      <text>
        <r>
          <rPr>
            <b/>
            <sz val="9"/>
            <color indexed="81"/>
            <rFont val="Segoe UI"/>
            <family val="2"/>
          </rPr>
          <t>USER1:</t>
        </r>
        <r>
          <rPr>
            <sz val="9"/>
            <color indexed="81"/>
            <rFont val="Segoe UI"/>
            <family val="2"/>
          </rPr>
          <t xml:space="preserve">
Koniec danej etapy je prepočítaný na základe hodnoty Start a Trvanie.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1800-000001000000}">
      <text>
        <r>
          <rPr>
            <b/>
            <sz val="9"/>
            <color indexed="81"/>
            <rFont val="Segoe UI"/>
            <family val="2"/>
          </rPr>
          <t>USER1:</t>
        </r>
        <r>
          <rPr>
            <sz val="9"/>
            <color indexed="81"/>
            <rFont val="Segoe UI"/>
            <family val="2"/>
          </rPr>
          <t xml:space="preserve">
Do tejto často sa transformujú náklady zo záložky Rozpočet - HW a licencie označené ako SW.
Pričom sú kalkulované v roku dodania danej položky.</t>
        </r>
      </text>
    </comment>
    <comment ref="A16" authorId="0" shapeId="0" xr:uid="{00000000-0006-0000-1800-000002000000}">
      <text>
        <r>
          <rPr>
            <b/>
            <sz val="9"/>
            <color indexed="81"/>
            <rFont val="Segoe UI"/>
            <family val="2"/>
          </rPr>
          <t>USER1:</t>
        </r>
        <r>
          <rPr>
            <sz val="9"/>
            <color indexed="81"/>
            <rFont val="Segoe UI"/>
            <family val="2"/>
          </rPr>
          <t xml:space="preserve">
Túto sekciu je potrebné vyplniť v prípade potreby manuálne</t>
        </r>
      </text>
    </comment>
    <comment ref="A26" authorId="0" shapeId="0" xr:uid="{00000000-0006-0000-1800-000003000000}">
      <text>
        <r>
          <rPr>
            <b/>
            <sz val="9"/>
            <color indexed="81"/>
            <rFont val="Segoe UI"/>
            <family val="2"/>
          </rPr>
          <t>USER1:</t>
        </r>
        <r>
          <rPr>
            <sz val="9"/>
            <color indexed="81"/>
            <rFont val="Segoe UI"/>
            <family val="2"/>
          </rPr>
          <t xml:space="preserve">
Túto sekciu je potrebné vyplniť v prípade potreby manuálne</t>
        </r>
      </text>
    </comment>
    <comment ref="A37" authorId="0" shapeId="0" xr:uid="{00000000-0006-0000-1800-000004000000}">
      <text>
        <r>
          <rPr>
            <b/>
            <sz val="9"/>
            <color indexed="81"/>
            <rFont val="Segoe UI"/>
            <family val="2"/>
          </rPr>
          <t>USER1:</t>
        </r>
        <r>
          <rPr>
            <sz val="9"/>
            <color indexed="81"/>
            <rFont val="Segoe UI"/>
            <family val="2"/>
          </rPr>
          <t xml:space="preserve">
Do tejto sekcie sa pre jednotlivé moduly transformujú náklady z Rozpocet - Vyvoj aplikacii, pričom sú kalkulované v roku, kedy končí inkrement, do ktorého je modul zaradený</t>
        </r>
      </text>
    </comment>
    <comment ref="A47" authorId="0" shapeId="0" xr:uid="{00000000-0006-0000-1800-000005000000}">
      <text>
        <r>
          <rPr>
            <b/>
            <sz val="9"/>
            <color indexed="81"/>
            <rFont val="Segoe UI"/>
            <family val="2"/>
          </rPr>
          <t>USER1:</t>
        </r>
        <r>
          <rPr>
            <sz val="9"/>
            <color indexed="81"/>
            <rFont val="Segoe UI"/>
            <family val="2"/>
          </rPr>
          <t xml:space="preserve">
Túto sekciu je potrebné vyplniť v prípade potreby manuálne</t>
        </r>
      </text>
    </comment>
    <comment ref="A57" authorId="0" shapeId="0" xr:uid="{00000000-0006-0000-1800-000006000000}">
      <text>
        <r>
          <rPr>
            <b/>
            <sz val="9"/>
            <color indexed="81"/>
            <rFont val="Segoe UI"/>
            <family val="2"/>
          </rPr>
          <t>USER1:</t>
        </r>
        <r>
          <rPr>
            <sz val="9"/>
            <color indexed="81"/>
            <rFont val="Segoe UI"/>
            <family val="2"/>
          </rPr>
          <t xml:space="preserve">
Do tejto seckcie sa transformujú náklady definované v časti POZICIE_INTERNE a to z hlavných etapách (Analýa a dizajn, Implementácia a nasadenie, Testovanie).
Rovnako sú kalkulované do roku ukončenia príslušného inkrementu.</t>
        </r>
      </text>
    </comment>
    <comment ref="A67" authorId="0" shapeId="0" xr:uid="{00000000-0006-0000-1800-000007000000}">
      <text>
        <r>
          <rPr>
            <b/>
            <sz val="9"/>
            <color indexed="81"/>
            <rFont val="Segoe UI"/>
            <family val="2"/>
          </rPr>
          <t>USER1:</t>
        </r>
        <r>
          <rPr>
            <sz val="9"/>
            <color indexed="81"/>
            <rFont val="Segoe UI"/>
            <family val="2"/>
          </rPr>
          <t xml:space="preserve">
Túto sekciu je potrebné vyplniť v prípade potreby manuálne</t>
        </r>
      </text>
    </comment>
    <comment ref="A79" authorId="0" shapeId="0" xr:uid="{00000000-0006-0000-1800-000008000000}">
      <text>
        <r>
          <rPr>
            <b/>
            <sz val="9"/>
            <color indexed="81"/>
            <rFont val="Segoe UI"/>
            <family val="2"/>
          </rPr>
          <t>USER1:</t>
        </r>
        <r>
          <rPr>
            <sz val="9"/>
            <color indexed="81"/>
            <rFont val="Segoe UI"/>
            <family val="2"/>
          </rPr>
          <t xml:space="preserve">
Táto sekcia počíta náklady ako obstarávacia hodnota SW produktov (013 Softvér) * hodnota supportov pre daný modul stanovená v záložke MODULY
Kalkulácia začína rokom uvedeným ako začiatok podpory / supportu pre daný modul  v záložke MODULY
Náklady sú rozložené podľa váhy modulov.</t>
        </r>
      </text>
    </comment>
    <comment ref="A89" authorId="0" shapeId="0" xr:uid="{00000000-0006-0000-1800-000009000000}">
      <text>
        <r>
          <rPr>
            <b/>
            <sz val="9"/>
            <color indexed="81"/>
            <rFont val="Segoe UI"/>
            <family val="2"/>
          </rPr>
          <t>USER1:</t>
        </r>
        <r>
          <rPr>
            <sz val="9"/>
            <color indexed="81"/>
            <rFont val="Segoe UI"/>
            <family val="2"/>
          </rPr>
          <t xml:space="preserve">
Táto sekcia počíta náklady ako obstarávacia hodnota SW produktov (013 Softvér) * hodnota Rovzoja pre daný modul stanovená v záložke MODULY
Kalkulácia začína rokom uvedeným ako začiatok podpory / supportu pre daný modul  v záložke MODULY
Náklady sú rozložené podľa váhy modulov.</t>
        </r>
      </text>
    </comment>
    <comment ref="A100" authorId="0" shapeId="0" xr:uid="{00000000-0006-0000-1800-00000A000000}">
      <text>
        <r>
          <rPr>
            <b/>
            <sz val="9"/>
            <color indexed="81"/>
            <rFont val="Segoe UI"/>
            <family val="2"/>
          </rPr>
          <t>USER1:</t>
        </r>
        <r>
          <rPr>
            <sz val="9"/>
            <color indexed="81"/>
            <rFont val="Segoe UI"/>
            <family val="2"/>
          </rPr>
          <t xml:space="preserve">
Táto sekcia počíta náklady ako obstarávacia hodnota Aplikácií (013 Softvér) * hodnota Aplikačnej podpory pre daný modul stanovená v záložke MODULY
Kalkulácia začína rokom uvedeným ako začiatok podpory / supportu pre daný modul  v záložke MODULY
Náklady sú rozložené podľa váhy modulov.</t>
        </r>
      </text>
    </comment>
    <comment ref="A110" authorId="0" shapeId="0" xr:uid="{00000000-0006-0000-1800-00000B000000}">
      <text>
        <r>
          <rPr>
            <b/>
            <sz val="9"/>
            <color indexed="81"/>
            <rFont val="Segoe UI"/>
            <family val="2"/>
          </rPr>
          <t>USER1:</t>
        </r>
        <r>
          <rPr>
            <sz val="9"/>
            <color indexed="81"/>
            <rFont val="Segoe UI"/>
            <family val="2"/>
          </rPr>
          <t xml:space="preserve">
Túto sekciu je potrebné vyplniť v prípade potreby manuálne</t>
        </r>
      </text>
    </comment>
    <comment ref="A120" authorId="0" shapeId="0" xr:uid="{00000000-0006-0000-1800-00000C000000}">
      <text>
        <r>
          <rPr>
            <b/>
            <sz val="9"/>
            <color indexed="81"/>
            <rFont val="Segoe UI"/>
            <family val="2"/>
          </rPr>
          <t>USER1:</t>
        </r>
        <r>
          <rPr>
            <sz val="9"/>
            <color indexed="81"/>
            <rFont val="Segoe UI"/>
            <family val="2"/>
          </rPr>
          <t xml:space="preserve">
Táto sekcia počíta náklady ako obstarávacia hodnota Aplikácií (013 Softvér) * hodnota Rozvoja pre daný modul stanovená v záložke MODULY
Kalkulácia začína rokom uvedeným ako začiatok podpory / supportu pre daný modul  v záložke MODULY
Náklady sú rozložené podľa váhy modulov.</t>
        </r>
      </text>
    </comment>
    <comment ref="A130" authorId="0" shapeId="0" xr:uid="{00000000-0006-0000-1800-00000D000000}">
      <text>
        <r>
          <rPr>
            <b/>
            <sz val="9"/>
            <color indexed="81"/>
            <rFont val="Segoe UI"/>
            <family val="2"/>
          </rPr>
          <t>USER1:</t>
        </r>
        <r>
          <rPr>
            <sz val="9"/>
            <color indexed="81"/>
            <rFont val="Segoe UI"/>
            <family val="2"/>
          </rPr>
          <t xml:space="preserve">
Túto sekciu je potrebné vyplniť v prípade potreby manuálne</t>
        </r>
      </text>
    </comment>
    <comment ref="A140" authorId="0" shapeId="0" xr:uid="{00000000-0006-0000-1800-00000E000000}">
      <text>
        <r>
          <rPr>
            <b/>
            <sz val="9"/>
            <color indexed="81"/>
            <rFont val="Segoe UI"/>
            <family val="2"/>
          </rPr>
          <t>USER1:</t>
        </r>
        <r>
          <rPr>
            <sz val="9"/>
            <color indexed="81"/>
            <rFont val="Segoe UI"/>
            <family val="2"/>
          </rPr>
          <t xml:space="preserve">
Túto sekciu je potrebné vyplniť v prípade potreby manuálne</t>
        </r>
      </text>
    </comment>
    <comment ref="A151" authorId="0" shapeId="0" xr:uid="{00000000-0006-0000-1800-00000F000000}">
      <text>
        <r>
          <rPr>
            <b/>
            <sz val="9"/>
            <color indexed="81"/>
            <rFont val="Segoe UI"/>
            <family val="2"/>
          </rPr>
          <t>USER1:</t>
        </r>
        <r>
          <rPr>
            <sz val="9"/>
            <color indexed="81"/>
            <rFont val="Segoe UI"/>
            <family val="2"/>
          </rPr>
          <t xml:space="preserve">
Táto sekcia je predvyplnená na základe údajov uvedených v záložke POZICIE_INTERNE z podpornej oblasti projektové riadenie.
Náklady sú kalkulované na základe váh jednotlivých modulov ako aj dĺžky trvania projektu v jednotlivých rokoch.
V prípade, ak by bolo projektové riadenie zabezpečované externými zdrojmi, je potrebné manuálne doplniť tieto údaje</t>
        </r>
      </text>
    </comment>
    <comment ref="A161" authorId="0" shapeId="0" xr:uid="{00000000-0006-0000-1800-000010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72" authorId="0" shapeId="0" xr:uid="{00000000-0006-0000-1800-00001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82" authorId="0" shapeId="0" xr:uid="{00000000-0006-0000-1800-00001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5" authorId="0" shapeId="0" xr:uid="{00000000-0006-0000-1900-000001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022 Samostatné hnuteľné veci a súbory hnuteľných vecí
Rok kalkulácie nákladu závisí od roku uvedeného ako rok dodávky daného komponentu</t>
        </r>
      </text>
    </comment>
    <comment ref="A15" authorId="0" shapeId="0" xr:uid="{00000000-0006-0000-1900-000002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112 Zásoby
Rok kalkulácie nákladu závisí od roku uvedeného ako rok dodávky daného komponentu</t>
        </r>
      </text>
    </comment>
    <comment ref="A25" authorId="0" shapeId="0" xr:uid="{00000000-0006-0000-1900-000003000000}">
      <text>
        <r>
          <rPr>
            <b/>
            <sz val="9"/>
            <color indexed="81"/>
            <rFont val="Segoe UI"/>
            <family val="2"/>
          </rPr>
          <t>USER1:</t>
        </r>
        <r>
          <rPr>
            <sz val="9"/>
            <color indexed="81"/>
            <rFont val="Segoe UI"/>
            <family val="2"/>
          </rPr>
          <t xml:space="preserve">
Túto sekciu je potrebné v prípade potreby vyplniť manuálne</t>
        </r>
      </text>
    </comment>
    <comment ref="A35" authorId="0" shapeId="0" xr:uid="{00000000-0006-0000-1900-000004000000}">
      <text>
        <r>
          <rPr>
            <b/>
            <sz val="9"/>
            <color indexed="81"/>
            <rFont val="Segoe UI"/>
            <family val="2"/>
          </rPr>
          <t>USER1:</t>
        </r>
        <r>
          <rPr>
            <sz val="9"/>
            <color indexed="81"/>
            <rFont val="Segoe UI"/>
            <family val="2"/>
          </rPr>
          <t xml:space="preserve">
Túto sekciu je potrebné v prípade potreby vyplniť manuálne
Jedná sa o mzdové výdavky interných pracovíkov, ktoré sú využité na inštalačné práce a pod.</t>
        </r>
      </text>
    </comment>
    <comment ref="A45" authorId="0" shapeId="0" xr:uid="{00000000-0006-0000-1900-000005000000}">
      <text>
        <r>
          <rPr>
            <b/>
            <sz val="9"/>
            <color indexed="81"/>
            <rFont val="Segoe UI"/>
            <family val="2"/>
          </rPr>
          <t>USER1:</t>
        </r>
        <r>
          <rPr>
            <sz val="9"/>
            <color indexed="81"/>
            <rFont val="Segoe UI"/>
            <family val="2"/>
          </rPr>
          <t xml:space="preserve">
Túto sekciu je potrebné v prípade potreby vyplniť manuálne</t>
        </r>
      </text>
    </comment>
    <comment ref="A56" authorId="0" shapeId="0" xr:uid="{00000000-0006-0000-1900-000006000000}">
      <text>
        <r>
          <rPr>
            <b/>
            <sz val="9"/>
            <color indexed="81"/>
            <rFont val="Segoe UI"/>
            <family val="2"/>
          </rPr>
          <t>USER1:</t>
        </r>
        <r>
          <rPr>
            <sz val="9"/>
            <color indexed="81"/>
            <rFont val="Segoe UI"/>
            <family val="2"/>
          </rPr>
          <t xml:space="preserve">
Táto sekcia počíta náklady ako obstarávacia hodnota Nákup, inštalácia a sprevádzkovanie HW 
vrátane systémového SW (022) * hodnota supportov pre daný modul stanovená v záložke MODULY
Kalkulácia začína rokom uvedeným ako začiatok podpory / supportu pre daný modul  v záložke MODULY
Náklady sú rozložené podľa váhy modulov.</t>
        </r>
      </text>
    </comment>
    <comment ref="A66" authorId="0" shapeId="0" xr:uid="{00000000-0006-0000-1900-000007000000}">
      <text>
        <r>
          <rPr>
            <b/>
            <sz val="9"/>
            <color indexed="81"/>
            <rFont val="Segoe UI"/>
            <family val="2"/>
          </rPr>
          <t>USER1:</t>
        </r>
        <r>
          <rPr>
            <sz val="9"/>
            <color indexed="81"/>
            <rFont val="Segoe UI"/>
            <family val="2"/>
          </rPr>
          <t xml:space="preserve">
Túto sekciu je potrebné v prípade potreby vyplniť manuálne</t>
        </r>
      </text>
    </comment>
    <comment ref="A76" authorId="0" shapeId="0" xr:uid="{00000000-0006-0000-1900-000008000000}">
      <text>
        <r>
          <rPr>
            <b/>
            <sz val="9"/>
            <color indexed="81"/>
            <rFont val="Segoe UI"/>
            <family val="2"/>
          </rPr>
          <t>USER1:</t>
        </r>
        <r>
          <rPr>
            <sz val="9"/>
            <color indexed="81"/>
            <rFont val="Segoe UI"/>
            <family val="2"/>
          </rPr>
          <t xml:space="preserve">
Túto sekciu je potrebné v prípade potreby vyplniť manuálne</t>
        </r>
      </text>
    </comment>
    <comment ref="A86" authorId="0" shapeId="0" xr:uid="{00000000-0006-0000-1900-000009000000}">
      <text>
        <r>
          <rPr>
            <b/>
            <sz val="9"/>
            <color indexed="81"/>
            <rFont val="Segoe UI"/>
            <family val="2"/>
          </rPr>
          <t>USER1:</t>
        </r>
        <r>
          <rPr>
            <sz val="9"/>
            <color indexed="81"/>
            <rFont val="Segoe UI"/>
            <family val="2"/>
          </rPr>
          <t xml:space="preserve">
Túto sekciu je potrebné v prípade potreby vyplniť manuálne</t>
        </r>
      </text>
    </comment>
    <comment ref="A96" authorId="0" shapeId="0" xr:uid="{00000000-0006-0000-1900-00000A000000}">
      <text>
        <r>
          <rPr>
            <b/>
            <sz val="9"/>
            <color indexed="81"/>
            <rFont val="Segoe UI"/>
            <family val="2"/>
          </rPr>
          <t>USER1:</t>
        </r>
        <r>
          <rPr>
            <sz val="9"/>
            <color indexed="81"/>
            <rFont val="Segoe UI"/>
            <family val="2"/>
          </rPr>
          <t xml:space="preserve">
Túto sekciu je potrebné v prípade potreby vyplniť manuálne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7" authorId="0" shapeId="0" xr:uid="{00000000-0006-0000-1A00-000001000000}">
      <text>
        <r>
          <rPr>
            <b/>
            <sz val="9"/>
            <color indexed="81"/>
            <rFont val="Segoe UI"/>
            <family val="2"/>
          </rPr>
          <t>USER1:</t>
        </r>
        <r>
          <rPr>
            <sz val="9"/>
            <color indexed="81"/>
            <rFont val="Segoe UI"/>
            <family val="2"/>
          </rPr>
          <t xml:space="preserve">
Potrebné aktualizovať podľa informácii zo SU SR</t>
        </r>
      </text>
    </comment>
    <comment ref="A10" authorId="0" shapeId="0" xr:uid="{00000000-0006-0000-1A00-000002000000}">
      <text>
        <r>
          <rPr>
            <b/>
            <sz val="9"/>
            <color indexed="81"/>
            <rFont val="Segoe UI"/>
            <family val="2"/>
          </rPr>
          <t>USER1:</t>
        </r>
        <r>
          <rPr>
            <sz val="9"/>
            <color indexed="81"/>
            <rFont val="Segoe UI"/>
            <family val="2"/>
          </rPr>
          <t xml:space="preserve">
Potrebné aktualizovať podľa informácii zo SU SR</t>
        </r>
      </text>
    </comment>
    <comment ref="A12" authorId="0" shapeId="0" xr:uid="{00000000-0006-0000-1A00-000003000000}">
      <text>
        <r>
          <rPr>
            <b/>
            <sz val="9"/>
            <color indexed="81"/>
            <rFont val="Segoe UI"/>
            <family val="2"/>
          </rPr>
          <t>USER1:</t>
        </r>
        <r>
          <rPr>
            <sz val="9"/>
            <color indexed="81"/>
            <rFont val="Segoe UI"/>
            <family val="2"/>
          </rPr>
          <t xml:space="preserve">
Potrebne aktualizovať pre daný rok, v ktorom sa plánuje pojekt realizovať</t>
        </r>
      </text>
    </comment>
    <comment ref="A13" authorId="0" shapeId="0" xr:uid="{00000000-0006-0000-1A00-000004000000}">
      <text>
        <r>
          <rPr>
            <b/>
            <sz val="9"/>
            <color indexed="81"/>
            <rFont val="Segoe UI"/>
            <family val="2"/>
          </rPr>
          <t>USER1:</t>
        </r>
        <r>
          <rPr>
            <sz val="9"/>
            <color indexed="81"/>
            <rFont val="Segoe UI"/>
            <family val="2"/>
          </rPr>
          <t xml:space="preserve">
Potrebne aktualizovať pre daný rok, v ktorom sa plánuje pojekt realizovať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G18" authorId="0" shapeId="0" xr:uid="{00000000-0006-0000-0200-000001000000}">
      <text>
        <r>
          <rPr>
            <b/>
            <sz val="9"/>
            <color indexed="81"/>
            <rFont val="Segoe UI"/>
            <family val="2"/>
          </rPr>
          <t>USER1:</t>
        </r>
        <r>
          <rPr>
            <sz val="9"/>
            <color indexed="81"/>
            <rFont val="Segoe UI"/>
            <family val="2"/>
          </rPr>
          <t xml:space="preserve">
V prípade potreby vyplniť Ostatné daňové a nedaňové príjmy</t>
        </r>
      </text>
    </comment>
    <comment ref="AE25" authorId="0" shapeId="0" xr:uid="{00000000-0006-0000-0200-000002000000}">
      <text>
        <r>
          <rPr>
            <b/>
            <sz val="9"/>
            <color indexed="81"/>
            <rFont val="Segoe UI"/>
            <family val="2"/>
          </rPr>
          <t>USER1:</t>
        </r>
        <r>
          <rPr>
            <sz val="9"/>
            <color indexed="81"/>
            <rFont val="Segoe UI"/>
            <family val="2"/>
          </rPr>
          <t xml:space="preserve">
V prípade potreby vyplniť Nevýčislené spoločenské prínosy ako textové pomenovanie prínosov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I3" authorId="0" shapeId="0" xr:uid="{00000000-0006-0000-0300-000001000000}">
      <text>
        <r>
          <rPr>
            <b/>
            <sz val="9"/>
            <color indexed="81"/>
            <rFont val="Segoe UI"/>
            <family val="2"/>
          </rPr>
          <t>USER1:</t>
        </r>
        <r>
          <rPr>
            <sz val="9"/>
            <color indexed="81"/>
            <rFont val="Segoe UI"/>
            <family val="2"/>
          </rPr>
          <t xml:space="preserve">
Potrebné vyplniť % ktorým da daný zdroj financovania bude podieľať na nákladoch projektu. 
Suma v danom riadku musí byť 100%, na čo upozorňuje aj hodnota v stĺpci G pre daný riadok</t>
        </r>
      </text>
    </comment>
    <comment ref="F20" authorId="0" shapeId="0" xr:uid="{00000000-0006-0000-03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Potrebné rozdeliť náklady v danej Oblasti výdavku na Interné a externé. Suma pre Oblasť výdavku musí byť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0800-000001000000}">
      <text>
        <r>
          <rPr>
            <b/>
            <sz val="9"/>
            <color indexed="81"/>
            <rFont val="Segoe UI"/>
            <family val="2"/>
          </rPr>
          <t>USER1:</t>
        </r>
        <r>
          <rPr>
            <sz val="9"/>
            <color indexed="81"/>
            <rFont val="Segoe UI"/>
            <family val="2"/>
          </rPr>
          <t xml:space="preserve">
Potrebné vyplniť názvy všetkých modulov, ktoré budú v projekte dodávané. 
Moduly by mali byť tie isté ako sú definované v META IS k danému IS</t>
        </r>
      </text>
    </comment>
    <comment ref="C2" authorId="0" shapeId="0" xr:uid="{00000000-0006-0000-0800-000002000000}">
      <text>
        <r>
          <rPr>
            <b/>
            <sz val="9"/>
            <color indexed="81"/>
            <rFont val="Segoe UI"/>
            <family val="2"/>
          </rPr>
          <t>USER1:</t>
        </r>
        <r>
          <rPr>
            <sz val="9"/>
            <color indexed="81"/>
            <rFont val="Segoe UI"/>
            <family val="2"/>
          </rPr>
          <t xml:space="preserve">
Hodnota je automaticky dotiahnutá pre modul zo záložky TCF_v02</t>
        </r>
      </text>
    </comment>
    <comment ref="D2" authorId="0" shapeId="0" xr:uid="{00000000-0006-0000-0800-000003000000}">
      <text>
        <r>
          <rPr>
            <b/>
            <sz val="9"/>
            <color indexed="81"/>
            <rFont val="Segoe UI"/>
            <family val="2"/>
          </rPr>
          <t>USER1:</t>
        </r>
        <r>
          <rPr>
            <sz val="9"/>
            <color indexed="81"/>
            <rFont val="Segoe UI"/>
            <family val="2"/>
          </rPr>
          <t xml:space="preserve">
Hodnota je automaticky dotiahnutá pre modul zo záložky ECF_v02</t>
        </r>
      </text>
    </comment>
    <comment ref="E2" authorId="0" shapeId="0" xr:uid="{00000000-0006-0000-0800-000004000000}">
      <text>
        <r>
          <rPr>
            <b/>
            <sz val="9"/>
            <color indexed="81"/>
            <rFont val="Segoe UI"/>
            <family val="2"/>
          </rPr>
          <t>USER1:</t>
        </r>
        <r>
          <rPr>
            <sz val="9"/>
            <color indexed="81"/>
            <rFont val="Segoe UI"/>
            <family val="2"/>
          </rPr>
          <t xml:space="preserve">
Hodnota je automaticky dotiahnutá pre modul zo záložky UAW_v02</t>
        </r>
      </text>
    </comment>
    <comment ref="F2" authorId="0" shapeId="0" xr:uid="{00000000-0006-0000-0800-000005000000}">
      <text>
        <r>
          <rPr>
            <b/>
            <sz val="9"/>
            <color indexed="81"/>
            <rFont val="Segoe UI"/>
            <family val="2"/>
          </rPr>
          <t>USER1:</t>
        </r>
        <r>
          <rPr>
            <sz val="9"/>
            <color indexed="81"/>
            <rFont val="Segoe UI"/>
            <family val="2"/>
          </rPr>
          <t xml:space="preserve">
Jedná sa o stanovanie hodnoty Produktivity faktor, ktorá znemená hodinúvú náročnosť realizácie jednoného bodu prípadu použitia (Use Case Pointu).
Viac v metodike časť Produktivity faktor a časť Oranžová sekcia bod 7</t>
        </r>
      </text>
    </comment>
    <comment ref="G2" authorId="0" shapeId="0" xr:uid="{00000000-0006-0000-0800-000006000000}">
      <text>
        <r>
          <rPr>
            <b/>
            <sz val="9"/>
            <color indexed="81"/>
            <rFont val="Segoe UI"/>
            <family val="2"/>
          </rPr>
          <t>USER1:</t>
        </r>
        <r>
          <rPr>
            <sz val="9"/>
            <color indexed="81"/>
            <rFont val="Segoe UI"/>
            <family val="2"/>
          </rPr>
          <t xml:space="preserve">
Je potrebné vybrať inkrement, v ktorom bude daný modul dodaný</t>
        </r>
      </text>
    </comment>
    <comment ref="H2" authorId="0" shapeId="0" xr:uid="{00000000-0006-0000-0800-000007000000}">
      <text>
        <r>
          <rPr>
            <b/>
            <sz val="9"/>
            <color indexed="81"/>
            <rFont val="Segoe UI"/>
            <family val="2"/>
          </rPr>
          <t>USER1:</t>
        </r>
        <r>
          <rPr>
            <sz val="9"/>
            <color indexed="81"/>
            <rFont val="Segoe UI"/>
            <family val="2"/>
          </rPr>
          <t xml:space="preserve">
Automaticky vyplnený rok dodania z vybraného inkrementu</t>
        </r>
      </text>
    </comment>
    <comment ref="I2" authorId="0" shapeId="0" xr:uid="{00000000-0006-0000-0800-000008000000}">
      <text>
        <r>
          <rPr>
            <b/>
            <sz val="9"/>
            <color indexed="81"/>
            <rFont val="Segoe UI"/>
            <family val="2"/>
          </rPr>
          <t>USER1:</t>
        </r>
        <r>
          <rPr>
            <sz val="9"/>
            <color indexed="81"/>
            <rFont val="Segoe UI"/>
            <family val="2"/>
          </rPr>
          <t xml:space="preserve">
Automaticky doplnený poradový rok dodania od spustenia projektu</t>
        </r>
      </text>
    </comment>
    <comment ref="J2" authorId="0" shapeId="0" xr:uid="{00000000-0006-0000-0800-000009000000}">
      <text>
        <r>
          <rPr>
            <b/>
            <sz val="9"/>
            <color indexed="81"/>
            <rFont val="Segoe UI"/>
            <family val="2"/>
          </rPr>
          <t>USER1:</t>
        </r>
        <r>
          <rPr>
            <sz val="9"/>
            <color indexed="81"/>
            <rFont val="Segoe UI"/>
            <family val="2"/>
          </rPr>
          <t xml:space="preserve">
Prepodkladaný počet externých MDs na realizovaný projekt</t>
        </r>
      </text>
    </comment>
    <comment ref="K2" authorId="0" shapeId="0" xr:uid="{00000000-0006-0000-08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 pre aplikačnú podporu daného modulu, ak je aplikačná podpora relevantná</t>
        </r>
      </text>
    </comment>
    <comment ref="L2" authorId="0" shapeId="0" xr:uid="{00000000-0006-0000-0800-00000B000000}">
      <text>
        <r>
          <rPr>
            <b/>
            <sz val="9"/>
            <color indexed="81"/>
            <rFont val="Segoe UI"/>
            <family val="2"/>
          </rPr>
          <t>USER1:</t>
        </r>
        <r>
          <rPr>
            <sz val="9"/>
            <color indexed="81"/>
            <rFont val="Segoe UI"/>
            <family val="2"/>
          </rPr>
          <t xml:space="preserve">
Jedná sa o stanovanie % rozvoja pre jednotlivé komponenty modulu. Rozvoj je vnímaný ako, pre aplikácie, tak aj pre SW produkty.</t>
        </r>
      </text>
    </comment>
    <comment ref="M2" authorId="0" shapeId="0" xr:uid="{00000000-0006-0000-0800-00000C000000}">
      <text>
        <r>
          <rPr>
            <b/>
            <sz val="9"/>
            <color indexed="81"/>
            <rFont val="Segoe UI"/>
            <family val="2"/>
          </rPr>
          <t>USER1:</t>
        </r>
        <r>
          <rPr>
            <sz val="9"/>
            <color indexed="81"/>
            <rFont val="Segoe UI"/>
            <family val="2"/>
          </rPr>
          <t xml:space="preserve">
Jedná sa o stanovenie percenta supportov pre HW a SW produkty v danom module.</t>
        </r>
      </text>
    </comment>
    <comment ref="N2" authorId="0" shapeId="0" xr:uid="{00000000-0006-0000-0800-00000D000000}">
      <text>
        <r>
          <rPr>
            <b/>
            <sz val="9"/>
            <color indexed="81"/>
            <rFont val="Segoe UI"/>
            <family val="2"/>
          </rPr>
          <t>USER1:</t>
        </r>
        <r>
          <rPr>
            <sz val="9"/>
            <color indexed="81"/>
            <rFont val="Segoe UI"/>
            <family val="2"/>
          </rPr>
          <t xml:space="preserve">
Jedná sa o stanovenie začiatku realizácie podpory alebo supportu pre daný modul. Na základe tejto hodnoty sa následne počítajú prevádzkové náklady pre aplikácie, SW produkty alebo HW.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A00-000001000000}">
      <text>
        <r>
          <rPr>
            <b/>
            <sz val="9"/>
            <color indexed="81"/>
            <rFont val="Segoe UI"/>
            <family val="2"/>
          </rPr>
          <t>USER1:</t>
        </r>
        <r>
          <rPr>
            <sz val="9"/>
            <color indexed="81"/>
            <rFont val="Segoe UI"/>
            <family val="2"/>
          </rPr>
          <t xml:space="preserve">
Je potrebné stanoviť začiatok trvania daného inkrementu.
Počet inkrementov záleží od projektu a jeho náročnosti.
Formát dátumu je DD.MM.RRRR</t>
        </r>
      </text>
    </comment>
    <comment ref="D1" authorId="0" shapeId="0" xr:uid="{00000000-0006-0000-0A00-000002000000}">
      <text>
        <r>
          <rPr>
            <b/>
            <sz val="9"/>
            <color indexed="81"/>
            <rFont val="Segoe UI"/>
            <family val="2"/>
          </rPr>
          <t>USER1:</t>
        </r>
        <r>
          <rPr>
            <sz val="9"/>
            <color indexed="81"/>
            <rFont val="Segoe UI"/>
            <family val="2"/>
          </rPr>
          <t xml:space="preserve">
Je potrebné stanoviť dátum ukončenia inkrementu.
Formát dátumu je DD.MM.RRRR</t>
        </r>
      </text>
    </comment>
    <comment ref="E1" authorId="0" shapeId="0" xr:uid="{00000000-0006-0000-0A00-000003000000}">
      <text>
        <r>
          <rPr>
            <b/>
            <sz val="9"/>
            <color indexed="81"/>
            <rFont val="Segoe UI"/>
            <family val="2"/>
          </rPr>
          <t>USER1:</t>
        </r>
        <r>
          <rPr>
            <sz val="9"/>
            <color indexed="81"/>
            <rFont val="Segoe UI"/>
            <family val="2"/>
          </rPr>
          <t xml:space="preserve">
Predstavuje dobu trvania inkrementu v mesiacoch</t>
        </r>
      </text>
    </comment>
    <comment ref="F1" authorId="0" shapeId="0" xr:uid="{00000000-0006-0000-0A00-000004000000}">
      <text>
        <r>
          <rPr>
            <b/>
            <sz val="9"/>
            <color indexed="81"/>
            <rFont val="Segoe UI"/>
            <family val="2"/>
          </rPr>
          <t>USER1:</t>
        </r>
        <r>
          <rPr>
            <sz val="9"/>
            <color indexed="81"/>
            <rFont val="Segoe UI"/>
            <family val="2"/>
          </rPr>
          <t xml:space="preserve">
Predstavuje rok dodania modulov v danom inkremente od začiatku projektu</t>
        </r>
      </text>
    </comment>
    <comment ref="G1" authorId="0" shapeId="0" xr:uid="{00000000-0006-0000-0A00-000005000000}">
      <text>
        <r>
          <rPr>
            <b/>
            <sz val="9"/>
            <color indexed="81"/>
            <rFont val="Segoe UI"/>
            <family val="2"/>
          </rPr>
          <t>USER1:</t>
        </r>
        <r>
          <rPr>
            <sz val="9"/>
            <color indexed="81"/>
            <rFont val="Segoe UI"/>
            <family val="2"/>
          </rPr>
          <t xml:space="preserve">
Predstavuje mesiac ukončenia inkrementu od začiatku projektu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0B00-000001000000}">
      <text>
        <r>
          <rPr>
            <b/>
            <sz val="9"/>
            <color indexed="81"/>
            <rFont val="Segoe UI"/>
            <family val="2"/>
          </rPr>
          <t>USER1:</t>
        </r>
        <r>
          <rPr>
            <sz val="9"/>
            <color indexed="81"/>
            <rFont val="Segoe UI"/>
            <family val="2"/>
          </rPr>
          <t xml:space="preserve">
Je potrebné stanoviť ID pre danú požiadavku, pričom sa začína od ID_1 a následne sa pokračuje vždy po 1</t>
        </r>
      </text>
    </comment>
    <comment ref="B2" authorId="0" shapeId="0" xr:uid="{00000000-0006-0000-0B00-000002000000}">
      <text>
        <r>
          <rPr>
            <b/>
            <sz val="9"/>
            <color indexed="81"/>
            <rFont val="Segoe UI"/>
            <family val="2"/>
          </rPr>
          <t>USER1:</t>
        </r>
        <r>
          <rPr>
            <sz val="9"/>
            <color indexed="81"/>
            <rFont val="Segoe UI"/>
            <family val="2"/>
          </rPr>
          <t xml:space="preserve">
Je potrebné vybrať klasifikáciu požiadavky z kombo boxu, pričom sa jedná o:
 - funkčnú požiadvaku
 - technickú požiadavku
 - ne- funkčnú požiadavku
Viac k problematike v metodika časť Definovanie a klasifikácia požiadaviek</t>
        </r>
      </text>
    </comment>
    <comment ref="C2" authorId="0" shapeId="0" xr:uid="{00000000-0006-0000-0B00-000003000000}">
      <text>
        <r>
          <rPr>
            <b/>
            <sz val="9"/>
            <color indexed="81"/>
            <rFont val="Segoe UI"/>
            <family val="2"/>
          </rPr>
          <t>USER1:</t>
        </r>
        <r>
          <rPr>
            <sz val="9"/>
            <color indexed="81"/>
            <rFont val="Segoe UI"/>
            <family val="2"/>
          </rPr>
          <t xml:space="preserve">
Oblasti požiadaviek si definuje vlastník projektu, pričom by mali byť zvolené tak, aby zahŕňali nejakú ucelenú oblasť - napr. modul, funkčnosť a pod.</t>
        </r>
      </text>
    </comment>
    <comment ref="D2" authorId="0" shapeId="0" xr:uid="{00000000-0006-0000-0B00-000004000000}">
      <text>
        <r>
          <rPr>
            <b/>
            <sz val="9"/>
            <color indexed="81"/>
            <rFont val="Segoe UI"/>
            <family val="2"/>
          </rPr>
          <t>USER1:</t>
        </r>
        <r>
          <rPr>
            <sz val="9"/>
            <color indexed="81"/>
            <rFont val="Segoe UI"/>
            <family val="2"/>
          </rPr>
          <t xml:space="preserve">
Jedná sa o jednoduché nazvanie požiadavky</t>
        </r>
      </text>
    </comment>
    <comment ref="E2" authorId="0" shapeId="0" xr:uid="{00000000-0006-0000-0B00-000005000000}">
      <text>
        <r>
          <rPr>
            <b/>
            <sz val="9"/>
            <color indexed="81"/>
            <rFont val="Segoe UI"/>
            <family val="2"/>
          </rPr>
          <t>USER1:</t>
        </r>
        <r>
          <rPr>
            <sz val="9"/>
            <color indexed="81"/>
            <rFont val="Segoe UI"/>
            <family val="2"/>
          </rPr>
          <t xml:space="preserve">
Mal by byť určený väčí detail požiadvaky tak, aby bolo jasné o čo sa v danej požiadavke jedná. 
Tento popis bude následne dôležitý aj pre proces verejného obstarávania ako aj pre procesy dodávky, akceptácie a testovania daných požiadaviek</t>
        </r>
      </text>
    </comment>
    <comment ref="F2" authorId="0" shapeId="0" xr:uid="{00000000-0006-0000-0B00-000006000000}">
      <text>
        <r>
          <rPr>
            <b/>
            <sz val="9"/>
            <color indexed="81"/>
            <rFont val="Segoe UI"/>
            <family val="2"/>
          </rPr>
          <t>USER1:</t>
        </r>
        <r>
          <rPr>
            <sz val="9"/>
            <color indexed="81"/>
            <rFont val="Segoe UI"/>
            <family val="2"/>
          </rPr>
          <t xml:space="preserve">
Mal by byť definovaný vlastník, ktorý je zodpovedný za definovanie danej požiadavky</t>
        </r>
      </text>
    </comment>
    <comment ref="G2" authorId="0" shapeId="0" xr:uid="{00000000-0006-0000-0B00-000007000000}">
      <text>
        <r>
          <rPr>
            <b/>
            <sz val="9"/>
            <color indexed="81"/>
            <rFont val="Segoe UI"/>
            <family val="2"/>
          </rPr>
          <t>USER1:</t>
        </r>
        <r>
          <rPr>
            <sz val="9"/>
            <color indexed="81"/>
            <rFont val="Segoe UI"/>
            <family val="2"/>
          </rPr>
          <t xml:space="preserve">
V tejto časti vyberie žiadateľ, ku ktorému modulu sa požiadavka viaže. 
Ak jedna požiadavka patrí k viacerým modulom, je potrbené je zadefinovať viac krát.</t>
        </r>
      </text>
    </comment>
    <comment ref="H2" authorId="0" shapeId="0" xr:uid="{00000000-0006-0000-0B00-000008000000}">
      <text>
        <r>
          <rPr>
            <b/>
            <sz val="9"/>
            <color indexed="81"/>
            <rFont val="Segoe UI"/>
            <family val="2"/>
          </rPr>
          <t>USER1:</t>
        </r>
        <r>
          <rPr>
            <sz val="9"/>
            <color indexed="81"/>
            <rFont val="Segoe UI"/>
            <family val="2"/>
          </rPr>
          <t xml:space="preserve">
Táto časť sa vypĺňa len pre funkčné požiadavky a predstavuje počet prístupových miest pre danú požiadavku:
- Call Centrum
- Integrované obslužné miesto
- Špecializovaný portál
- Klientske centrum štátnej správy
- Podateľná orgánu verenej moci
- Pracovicko OVM
- eGovApps na mobilných platformách
- GoTechApps – komerčné riešenie
- e-mail
- SMS
- Ústredný portál verejnej správy</t>
        </r>
      </text>
    </comment>
    <comment ref="I2" authorId="0" shapeId="0" xr:uid="{00000000-0006-0000-0B00-000009000000}">
      <text>
        <r>
          <rPr>
            <b/>
            <sz val="9"/>
            <color indexed="81"/>
            <rFont val="Segoe UI"/>
            <family val="2"/>
          </rPr>
          <t>USER1:</t>
        </r>
        <r>
          <rPr>
            <sz val="9"/>
            <color indexed="81"/>
            <rFont val="Segoe UI"/>
            <family val="2"/>
          </rPr>
          <t xml:space="preserve">
Zložitosť požiadavky je vyjadrená hodnotami:
 - 5 - jednoduchá
 - 10 - priemerná
 - 15 - komplexná
Pričom detailné vysvetlenie je v časti Vývoj a úprava SW diela / Aplikácie</t>
        </r>
      </text>
    </comment>
    <comment ref="K2" authorId="0" shapeId="0" xr:uid="{00000000-0006-0000-0B00-00000A000000}">
      <text>
        <r>
          <rPr>
            <b/>
            <sz val="9"/>
            <color indexed="81"/>
            <rFont val="Segoe UI"/>
            <family val="2"/>
          </rPr>
          <t>USER1:</t>
        </r>
        <r>
          <rPr>
            <sz val="9"/>
            <color indexed="81"/>
            <rFont val="Segoe UI"/>
            <family val="2"/>
          </rPr>
          <t xml:space="preserve">
Predstavuje súčim Poctu pristupovych kanalov a Zlozitosti poziadavky</t>
        </r>
      </text>
    </comment>
    <comment ref="L2" authorId="0" shapeId="0" xr:uid="{00000000-0006-0000-0B00-00000B000000}">
      <text>
        <r>
          <rPr>
            <b/>
            <sz val="9"/>
            <color indexed="81"/>
            <rFont val="Segoe UI"/>
            <family val="2"/>
          </rPr>
          <t>USER1:</t>
        </r>
        <r>
          <rPr>
            <sz val="9"/>
            <color indexed="81"/>
            <rFont val="Segoe UI"/>
            <family val="2"/>
          </rPr>
          <t xml:space="preserve">
Dotiahnutá vážená hodnota UAW pre daný modul</t>
        </r>
      </text>
    </comment>
    <comment ref="M2" authorId="0" shapeId="0" xr:uid="{00000000-0006-0000-0B00-00000C000000}">
      <text>
        <r>
          <rPr>
            <b/>
            <sz val="9"/>
            <color indexed="81"/>
            <rFont val="Segoe UI"/>
            <family val="2"/>
          </rPr>
          <t>USER1:</t>
        </r>
        <r>
          <rPr>
            <sz val="9"/>
            <color indexed="81"/>
            <rFont val="Segoe UI"/>
            <family val="2"/>
          </rPr>
          <t xml:space="preserve">
Dotiahntuá hodnota zo záložky Moduly pre daný modul</t>
        </r>
      </text>
    </comment>
    <comment ref="N2" authorId="0" shapeId="0" xr:uid="{00000000-0006-0000-0B00-00000D000000}">
      <text>
        <r>
          <rPr>
            <b/>
            <sz val="9"/>
            <color indexed="81"/>
            <rFont val="Segoe UI"/>
            <family val="2"/>
          </rPr>
          <t>USER1:</t>
        </r>
        <r>
          <rPr>
            <sz val="9"/>
            <color indexed="81"/>
            <rFont val="Segoe UI"/>
            <family val="2"/>
          </rPr>
          <t xml:space="preserve">
Dotiahntuá hodnota zo záložky Moduly pre daný modul</t>
        </r>
      </text>
    </comment>
    <comment ref="O2" authorId="0" shapeId="0" xr:uid="{00000000-0006-0000-0B00-00000E000000}">
      <text>
        <r>
          <rPr>
            <b/>
            <sz val="9"/>
            <color indexed="81"/>
            <rFont val="Segoe UI"/>
            <family val="2"/>
          </rPr>
          <t>USER1:</t>
        </r>
        <r>
          <rPr>
            <sz val="9"/>
            <color indexed="81"/>
            <rFont val="Segoe UI"/>
            <family val="2"/>
          </rPr>
          <t xml:space="preserve">
Jedná sa o výpočet počtu Bodov Prípadov použitia, ktorý je základným faktorom pre výpočet následnej náročnosti, pričom výpočet je nasledovny:
(Zlozitost + UAW) * ECF * TCF</t>
        </r>
      </text>
    </comment>
    <comment ref="P2" authorId="0" shapeId="0" xr:uid="{00000000-0006-0000-0B00-00000F000000}">
      <text>
        <r>
          <rPr>
            <b/>
            <sz val="9"/>
            <color indexed="81"/>
            <rFont val="Segoe UI"/>
            <family val="2"/>
          </rPr>
          <t>USER1:</t>
        </r>
        <r>
          <rPr>
            <sz val="9"/>
            <color indexed="81"/>
            <rFont val="Segoe UI"/>
            <family val="2"/>
          </rPr>
          <t xml:space="preserve">
Jedná sa o hodinovú náročnosť implementácie danej požiadavky, pričom je hdonota UCP prenásobená PF stanoveným pra daný modul</t>
        </r>
      </text>
    </comment>
    <comment ref="Q2" authorId="0" shapeId="0" xr:uid="{00000000-0006-0000-0B00-000010000000}">
      <text>
        <r>
          <rPr>
            <b/>
            <sz val="9"/>
            <color indexed="81"/>
            <rFont val="Segoe UI"/>
            <family val="2"/>
          </rPr>
          <t>USER1:</t>
        </r>
        <r>
          <rPr>
            <sz val="9"/>
            <color indexed="81"/>
            <rFont val="Segoe UI"/>
            <family val="2"/>
          </rPr>
          <t xml:space="preserve">
Je automaticky dotihanutá hodnota inkrementu pre daný modul ku každej požiadavke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C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C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C00-000003000000}">
      <text>
        <r>
          <rPr>
            <b/>
            <sz val="9"/>
            <color indexed="81"/>
            <rFont val="Segoe UI"/>
            <family val="2"/>
          </rPr>
          <t>USER1:</t>
        </r>
        <r>
          <rPr>
            <sz val="9"/>
            <color indexed="81"/>
            <rFont val="Segoe UI"/>
            <family val="2"/>
          </rPr>
          <t xml:space="preserve">
PJe architektúra systému distribuovaná alebo centralizovaná?</t>
        </r>
      </text>
    </comment>
    <comment ref="B5" authorId="0" shapeId="0" xr:uid="{00000000-0006-0000-0C00-000004000000}">
      <text>
        <r>
          <rPr>
            <b/>
            <sz val="9"/>
            <color indexed="81"/>
            <rFont val="Segoe UI"/>
            <family val="2"/>
          </rPr>
          <t>USER1:</t>
        </r>
        <r>
          <rPr>
            <sz val="9"/>
            <color indexed="81"/>
            <rFont val="Segoe UI"/>
            <family val="2"/>
          </rPr>
          <t xml:space="preserve">
Detail jednotlivých parametrov je popísaný v časti Metodika Príloha č. 1 – Technické faktory</t>
        </r>
      </text>
    </comment>
    <comment ref="A6" authorId="0" shapeId="0" xr:uid="{00000000-0006-0000-0C00-000005000000}">
      <text>
        <r>
          <rPr>
            <b/>
            <sz val="9"/>
            <color indexed="81"/>
            <rFont val="Segoe UI"/>
            <family val="2"/>
          </rPr>
          <t>USER1:</t>
        </r>
        <r>
          <rPr>
            <sz val="9"/>
            <color indexed="81"/>
            <rFont val="Segoe UI"/>
            <family val="2"/>
          </rPr>
          <t xml:space="preserve">
Aký význam má časť odozvy aplikácie pre jej užívateľov?</t>
        </r>
      </text>
    </comment>
    <comment ref="A7" authorId="0" shapeId="0" xr:uid="{00000000-0006-0000-0C00-000006000000}">
      <text>
        <r>
          <rPr>
            <b/>
            <sz val="9"/>
            <color indexed="81"/>
            <rFont val="Segoe UI"/>
            <family val="2"/>
          </rPr>
          <t>USER1:</t>
        </r>
        <r>
          <rPr>
            <sz val="9"/>
            <color indexed="81"/>
            <rFont val="Segoe UI"/>
            <family val="2"/>
          </rPr>
          <t xml:space="preserve">
Je aplikácia navrhnutá tak, aby umožňovala konečným používateľom vykonávať len svoju prácu alebo je určená na zvýšenie ich efektívnosti?</t>
        </r>
      </text>
    </comment>
    <comment ref="A8" authorId="0" shapeId="0" xr:uid="{00000000-0006-0000-0C00-000007000000}">
      <text>
        <r>
          <rPr>
            <b/>
            <sz val="9"/>
            <color indexed="81"/>
            <rFont val="Segoe UI"/>
            <family val="2"/>
          </rPr>
          <t>USER1:</t>
        </r>
        <r>
          <rPr>
            <sz val="9"/>
            <color indexed="81"/>
            <rFont val="Segoe UI"/>
            <family val="2"/>
          </rPr>
          <t xml:space="preserve">
Potrebuje aplikácia zložité algoritmy?</t>
        </r>
      </text>
    </comment>
    <comment ref="A9" authorId="0" shapeId="0" xr:uid="{00000000-0006-0000-0C00-000008000000}">
      <text>
        <r>
          <rPr>
            <b/>
            <sz val="9"/>
            <color indexed="81"/>
            <rFont val="Segoe UI"/>
            <family val="2"/>
          </rPr>
          <t>USER1:</t>
        </r>
        <r>
          <rPr>
            <sz val="9"/>
            <color indexed="81"/>
            <rFont val="Segoe UI"/>
            <family val="2"/>
          </rPr>
          <t xml:space="preserve">
Je aplikácia navrhnutá tak, aby jej kód a artefakty boli vysoko znovu použiteľné?</t>
        </r>
      </text>
    </comment>
    <comment ref="A10" authorId="0" shapeId="0" xr:uid="{00000000-0006-0000-0C00-000009000000}">
      <text>
        <r>
          <rPr>
            <b/>
            <sz val="9"/>
            <color indexed="81"/>
            <rFont val="Segoe UI"/>
            <family val="2"/>
          </rPr>
          <t>USER1:</t>
        </r>
        <r>
          <rPr>
            <sz val="9"/>
            <color indexed="81"/>
            <rFont val="Segoe UI"/>
            <family val="2"/>
          </rPr>
          <t xml:space="preserve">
Bude aplikácia navrhnutá tak, aby bola jej inštalácia automatická (napríklad v prípade používateľov s nízkou alebo neznámou technickou kapacitou), alebo je tento parameter bezpredmetný?</t>
        </r>
      </text>
    </comment>
    <comment ref="A11" authorId="0" shapeId="0" xr:uid="{00000000-0006-0000-0C00-00000A000000}">
      <text>
        <r>
          <rPr>
            <b/>
            <sz val="9"/>
            <color indexed="81"/>
            <rFont val="Segoe UI"/>
            <family val="2"/>
          </rPr>
          <t>USER1:</t>
        </r>
        <r>
          <rPr>
            <sz val="9"/>
            <color indexed="81"/>
            <rFont val="Segoe UI"/>
            <family val="2"/>
          </rPr>
          <t xml:space="preserve">
Existujú špeciálne požiadavky týkajúce sa fungovania systému?</t>
        </r>
      </text>
    </comment>
    <comment ref="A12" authorId="0" shapeId="0" xr:uid="{00000000-0006-0000-0C00-00000B000000}">
      <text>
        <r>
          <rPr>
            <b/>
            <sz val="9"/>
            <color indexed="81"/>
            <rFont val="Segoe UI"/>
            <family val="2"/>
          </rPr>
          <t>USER1:</t>
        </r>
        <r>
          <rPr>
            <sz val="9"/>
            <color indexed="81"/>
            <rFont val="Segoe UI"/>
            <family val="2"/>
          </rPr>
          <t xml:space="preserve">
Je aplikácia alebo jej časti určená na prácu na viacerých platformách?</t>
        </r>
      </text>
    </comment>
    <comment ref="A13" authorId="0" shapeId="0" xr:uid="{00000000-0006-0000-0C00-00000C000000}">
      <text>
        <r>
          <rPr>
            <b/>
            <sz val="9"/>
            <color indexed="81"/>
            <rFont val="Segoe UI"/>
            <family val="2"/>
          </rPr>
          <t>USER1:</t>
        </r>
        <r>
          <rPr>
            <sz val="9"/>
            <color indexed="81"/>
            <rFont val="Segoe UI"/>
            <family val="2"/>
          </rPr>
          <t xml:space="preserve">
Vyžaduje klient, aby sa aplikácia dala v budúcnosti ľahko meniť?</t>
        </r>
      </text>
    </comment>
    <comment ref="A14" authorId="0" shapeId="0" xr:uid="{00000000-0006-0000-0C00-00000D000000}">
      <text>
        <r>
          <rPr>
            <b/>
            <sz val="9"/>
            <color indexed="81"/>
            <rFont val="Segoe UI"/>
            <family val="2"/>
          </rPr>
          <t>USER1:</t>
        </r>
        <r>
          <rPr>
            <sz val="9"/>
            <color indexed="81"/>
            <rFont val="Segoe UI"/>
            <family val="2"/>
          </rPr>
          <t xml:space="preserve">
Musí byť aplikácia navrhnutá tak, aby dokázala čeliť problémom súvisiacim so súbežnosťou, ako sú napríklad zdieľanie údajov a zdrojov?</t>
        </r>
      </text>
    </comment>
    <comment ref="A15" authorId="0" shapeId="0" xr:uid="{00000000-0006-0000-0C00-00000E000000}">
      <text>
        <r>
          <rPr>
            <b/>
            <sz val="9"/>
            <color indexed="81"/>
            <rFont val="Segoe UI"/>
            <family val="2"/>
          </rPr>
          <t>USER1:</t>
        </r>
        <r>
          <rPr>
            <sz val="9"/>
            <color indexed="81"/>
            <rFont val="Segoe UI"/>
            <family val="2"/>
          </rPr>
          <t xml:space="preserve">
Sú potreby zabezpečenia iba nominálne alebo je potrebný špeciálny dizajn a ďalšie špecifikácie?</t>
        </r>
      </text>
    </comment>
    <comment ref="A16" authorId="0" shapeId="0" xr:uid="{00000000-0006-0000-0C00-00000F000000}">
      <text>
        <r>
          <rPr>
            <b/>
            <sz val="9"/>
            <color indexed="81"/>
            <rFont val="Segoe UI"/>
            <family val="2"/>
          </rPr>
          <t>USER1:</t>
        </r>
        <r>
          <rPr>
            <sz val="9"/>
            <color indexed="81"/>
            <rFont val="Segoe UI"/>
            <family val="2"/>
          </rPr>
          <t xml:space="preserve">
Bude aplikácia používať kód, ktorý už bol vyvinutý, napríklad komerčné komponenty, rámce alebo knižnice? Vysoké opätovné použitie kvalitného softvéru znižuje hodnotu tejto položky, pretože si vyžaduje menšie vývojové úsilie.</t>
        </r>
      </text>
    </comment>
    <comment ref="A17" authorId="0" shapeId="0" xr:uid="{00000000-0006-0000-0C00-000010000000}">
      <text>
        <r>
          <rPr>
            <b/>
            <sz val="9"/>
            <color indexed="81"/>
            <rFont val="Segoe UI"/>
            <family val="2"/>
          </rPr>
          <t>USER1:</t>
        </r>
        <r>
          <rPr>
            <sz val="9"/>
            <color indexed="81"/>
            <rFont val="Segoe UI"/>
            <family val="2"/>
          </rPr>
          <t xml:space="preserve">
Bude sa aplikácia ľahko používať alebo sa musí budúcim používateľom poskytnúť rozsiahle školenie?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D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D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D00-000003000000}">
      <text>
        <r>
          <rPr>
            <b/>
            <sz val="9"/>
            <color indexed="81"/>
            <rFont val="Segoe UI"/>
            <family val="2"/>
          </rPr>
          <t>USER1:</t>
        </r>
        <r>
          <rPr>
            <sz val="9"/>
            <color indexed="81"/>
            <rFont val="Segoe UI"/>
            <family val="2"/>
          </rPr>
          <t xml:space="preserve">
Tento faktor hodnotí skúsenosti tímu (externy alebo interny podla typu inmplementacie) s vývojovým procesom, ktorý používajú.</t>
        </r>
      </text>
    </comment>
    <comment ref="B5" authorId="0" shapeId="0" xr:uid="{00000000-0006-0000-0D00-000004000000}">
      <text>
        <r>
          <rPr>
            <b/>
            <sz val="9"/>
            <color indexed="81"/>
            <rFont val="Segoe UI"/>
            <family val="2"/>
          </rPr>
          <t>USER1:</t>
        </r>
        <r>
          <rPr>
            <sz val="9"/>
            <color indexed="81"/>
            <rFont val="Segoe UI"/>
            <family val="2"/>
          </rPr>
          <t xml:space="preserve">
Detail jednotlivých parametrov je popísaný v časti Metodika Príloha č. 2 – Environmentálne faktory</t>
        </r>
      </text>
    </comment>
    <comment ref="A6" authorId="0" shapeId="0" xr:uid="{00000000-0006-0000-0D00-000005000000}">
      <text>
        <r>
          <rPr>
            <b/>
            <sz val="9"/>
            <color indexed="81"/>
            <rFont val="Segoe UI"/>
            <family val="2"/>
          </rPr>
          <t>USER1:</t>
        </r>
        <r>
          <rPr>
            <sz val="9"/>
            <color indexed="81"/>
            <rFont val="Segoe UI"/>
            <family val="2"/>
          </rPr>
          <t xml:space="preserve">
Tento faktor hodnotí znalosť tímu s oblasťou alebo doménou aplikácie. Napríklad ak sa aplikácia týka elektronického obchodu, pracoval už tím so systémami v rovnakej oblasti?</t>
        </r>
      </text>
    </comment>
    <comment ref="A7" authorId="0" shapeId="0" xr:uid="{00000000-0006-0000-0D00-000006000000}">
      <text>
        <r>
          <rPr>
            <b/>
            <sz val="9"/>
            <color indexed="81"/>
            <rFont val="Segoe UI"/>
            <family val="2"/>
          </rPr>
          <t>USER1:</t>
        </r>
        <r>
          <rPr>
            <sz val="9"/>
            <color indexed="81"/>
            <rFont val="Segoe UI"/>
            <family val="2"/>
          </rPr>
          <t xml:space="preserve">
Tento faktor si nemožno zamieňať ani so znalosťou procesu vývoja (E1), ani so skúsenosťami s aplikáciou (E4): jedná sa o skúsenosti tímu s uskutočňovaním objektovo-orientovanej analýzy, modelovania, návrhu a programovania, nezávisle od aplikačnej oblasti a použitý vývojový proces.</t>
        </r>
      </text>
    </comment>
    <comment ref="A8" authorId="0" shapeId="0" xr:uid="{00000000-0006-0000-0D00-000007000000}">
      <text>
        <r>
          <rPr>
            <b/>
            <sz val="9"/>
            <color indexed="81"/>
            <rFont val="Segoe UI"/>
            <family val="2"/>
          </rPr>
          <t>USER1:</t>
        </r>
        <r>
          <rPr>
            <sz val="9"/>
            <color indexed="81"/>
            <rFont val="Segoe UI"/>
            <family val="2"/>
          </rPr>
          <t xml:space="preserve">
Tento faktor meria skúsenosti vedúceho analytika s analýzou požiadaviek a objektovo orientovaným modelovaním.</t>
        </r>
      </text>
    </comment>
    <comment ref="A9" authorId="0" shapeId="0" xr:uid="{00000000-0006-0000-0D00-000008000000}">
      <text>
        <r>
          <rPr>
            <b/>
            <sz val="9"/>
            <color indexed="81"/>
            <rFont val="Segoe UI"/>
            <family val="2"/>
          </rPr>
          <t>USER1:</t>
        </r>
        <r>
          <rPr>
            <sz val="9"/>
            <color indexed="81"/>
            <rFont val="Segoe UI"/>
            <family val="2"/>
          </rPr>
          <t xml:space="preserve">
Tento faktor popisuje motiváciu tímu.</t>
        </r>
      </text>
    </comment>
    <comment ref="A10" authorId="0" shapeId="0" xr:uid="{00000000-0006-0000-0D00-000009000000}">
      <text>
        <r>
          <rPr>
            <b/>
            <sz val="9"/>
            <color indexed="81"/>
            <rFont val="Segoe UI"/>
            <family val="2"/>
          </rPr>
          <t>USER1:</t>
        </r>
        <r>
          <rPr>
            <sz val="9"/>
            <color indexed="81"/>
            <rFont val="Segoe UI"/>
            <family val="2"/>
          </rPr>
          <t xml:space="preserve">
Tento faktor hodnotí, či bol tím schopný udržať požiadavky stabilné v minulých projektoch a minimalizovať ich zmeny v priebehu projektu. Tento faktor sa môže líšiť od projektu k projektu, pretože existujú domény, kde sa požiadavky menia často nezávisle od kapacity analytikov. Tento faktor musí posudzovať iba zmeny softvéru, ktoré boli spôsobené neschopnosťou tímu zistiť správne požiadavky.</t>
        </r>
      </text>
    </comment>
    <comment ref="A11" authorId="0" shapeId="0" xr:uid="{00000000-0006-0000-0D00-00000A000000}">
      <text>
        <r>
          <rPr>
            <b/>
            <sz val="9"/>
            <color indexed="81"/>
            <rFont val="Segoe UI"/>
            <family val="2"/>
          </rPr>
          <t>USER1:</t>
        </r>
        <r>
          <rPr>
            <sz val="9"/>
            <color indexed="81"/>
            <rFont val="Segoe UI"/>
            <family val="2"/>
          </rPr>
          <t xml:space="preserve">
Toto je negatívny faktor, to znamená, že na rozdiel od ostatných faktorov tu vyššie hodnoty znamenajú viac času na vývoj, nie menej. Tím s mnohými členmi zapojenými do iných projektov alebo aktivít je menej produktívny ako špecializovaný tím.</t>
        </r>
      </text>
    </comment>
    <comment ref="A12" authorId="0" shapeId="0" xr:uid="{00000000-0006-0000-0D00-00000B000000}">
      <text>
        <r>
          <rPr>
            <b/>
            <sz val="9"/>
            <color indexed="81"/>
            <rFont val="Segoe UI"/>
            <family val="2"/>
          </rPr>
          <t>USER1:</t>
        </r>
        <r>
          <rPr>
            <sz val="9"/>
            <color indexed="81"/>
            <rFont val="Segoe UI"/>
            <family val="2"/>
          </rPr>
          <t xml:space="preserve">
Toto je ďalší negatívny faktor, čo znamená, že vysoké hodnoty tu nie sú dobré pre vývojový čas.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E00-000001000000}">
      <text>
        <r>
          <rPr>
            <b/>
            <sz val="9"/>
            <color indexed="81"/>
            <rFont val="Segoe UI"/>
            <family val="2"/>
          </rPr>
          <t>USER1:</t>
        </r>
        <r>
          <rPr>
            <sz val="9"/>
            <color indexed="81"/>
            <rFont val="Segoe UI"/>
            <family val="2"/>
          </rPr>
          <t xml:space="preserve">
Je potrebné definovať užívateľa projektu, pričom užívateľom môže byť aj informačný systém.
V prípade potreby je možné prostredníctvom komentáru popísať o akého užívateľa alebo o koľko typov daného užívateľa sa jedná</t>
        </r>
      </text>
    </comment>
    <comment ref="B2" authorId="0" shapeId="0" xr:uid="{00000000-0006-0000-0E00-000002000000}">
      <text>
        <r>
          <rPr>
            <b/>
            <sz val="9"/>
            <color indexed="81"/>
            <rFont val="Segoe UI"/>
            <family val="2"/>
          </rPr>
          <t>USER1:</t>
        </r>
        <r>
          <rPr>
            <sz val="9"/>
            <color indexed="81"/>
            <rFont val="Segoe UI"/>
            <family val="2"/>
          </rPr>
          <t xml:space="preserve">
Typ užívateľa sa vyberá z preddefinvoaného čísleníka, pričom sú takto užívatelia zaradený do homogénnych skupín</t>
        </r>
      </text>
    </comment>
    <comment ref="B3" authorId="0" shapeId="0" xr:uid="{00000000-0006-0000-0E00-000003000000}">
      <text>
        <r>
          <rPr>
            <b/>
            <sz val="9"/>
            <color indexed="81"/>
            <rFont val="Segoe UI"/>
            <family val="2"/>
          </rPr>
          <t>USER1:</t>
        </r>
        <r>
          <rPr>
            <sz val="9"/>
            <color indexed="81"/>
            <rFont val="Segoe UI"/>
            <family val="2"/>
          </rPr>
          <t xml:space="preserve">
Jedná sa o stanovenie hodnoty zložitosti daného užívateľa pričom detailné vysvetlenie je v časti Metodiky - UAW</t>
        </r>
      </text>
    </comment>
    <comment ref="B4" authorId="0" shapeId="0" xr:uid="{00000000-0006-0000-0E00-000004000000}">
      <text>
        <r>
          <rPr>
            <b/>
            <sz val="9"/>
            <color indexed="81"/>
            <rFont val="Segoe UI"/>
            <family val="2"/>
          </rPr>
          <t>USER1:</t>
        </r>
        <r>
          <rPr>
            <sz val="9"/>
            <color indexed="81"/>
            <rFont val="Segoe UI"/>
            <family val="2"/>
          </rPr>
          <t xml:space="preserve">
Jedná sa o stanovenie typového počtu daného užívateľa. Napr. v prípade ak je užívateľom občan, tak počet nie je 5 miliónov ale počet typov občanov.</t>
        </r>
      </text>
    </comment>
    <comment ref="B5" authorId="0" shapeId="0" xr:uid="{00000000-0006-0000-0E00-000005000000}">
      <text>
        <r>
          <rPr>
            <b/>
            <sz val="9"/>
            <color indexed="81"/>
            <rFont val="Segoe UI"/>
            <family val="2"/>
          </rPr>
          <t>USER1:</t>
        </r>
        <r>
          <rPr>
            <sz val="9"/>
            <color indexed="81"/>
            <rFont val="Segoe UI"/>
            <family val="2"/>
          </rPr>
          <t xml:space="preserve">
Jedná sa o násobok medzi zložitosťou a Počtom užívateľov.</t>
        </r>
      </text>
    </comment>
    <comment ref="B6" authorId="0" shapeId="0" xr:uid="{00000000-0006-0000-0E00-000006000000}">
      <text>
        <r>
          <rPr>
            <b/>
            <sz val="9"/>
            <color indexed="81"/>
            <rFont val="Segoe UI"/>
            <family val="2"/>
          </rPr>
          <t>USER1:</t>
        </r>
        <r>
          <rPr>
            <sz val="9"/>
            <color indexed="81"/>
            <rFont val="Segoe UI"/>
            <family val="2"/>
          </rPr>
          <t xml:space="preserve">
Pre každý modul pre prepočítaná váha užívateľov, ktorá je transformvoaná do záložky MODULY a následne do katalógu požiadaviek, k daným funkčným požiadavkám</t>
        </r>
      </text>
    </comment>
    <comment ref="C6" authorId="0" shapeId="0" xr:uid="{00000000-0006-0000-0E00-000007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6" authorId="0" shapeId="0" xr:uid="{00000000-0006-0000-0E00-000008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6" authorId="0" shapeId="0" xr:uid="{00000000-0006-0000-0E00-000009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7" authorId="0" shapeId="0" xr:uid="{00000000-0006-0000-0E00-00000A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7" authorId="0" shapeId="0" xr:uid="{00000000-0006-0000-0E00-00000B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7" authorId="0" shapeId="0" xr:uid="{00000000-0006-0000-0E00-00000C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8" authorId="0" shapeId="0" xr:uid="{00000000-0006-0000-0E00-00000D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8" authorId="0" shapeId="0" xr:uid="{00000000-0006-0000-0E00-00000E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8" authorId="0" shapeId="0" xr:uid="{00000000-0006-0000-0E00-00000F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List>
</comments>
</file>

<file path=xl/sharedStrings.xml><?xml version="1.0" encoding="utf-8"?>
<sst xmlns="http://schemas.openxmlformats.org/spreadsheetml/2006/main" count="3533" uniqueCount="1330">
  <si>
    <t>Názov</t>
  </si>
  <si>
    <t>Popis</t>
  </si>
  <si>
    <t>Hodnota</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</si>
  <si>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</si>
  <si>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</si>
  <si>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Referenčná diskontná sadzba (i)</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</si>
  <si>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</si>
  <si>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</si>
  <si>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</si>
  <si>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Osobné náklady (Cper)</t>
  </si>
  <si>
    <t>Jednotka</t>
  </si>
  <si>
    <t>rok</t>
  </si>
  <si>
    <t>%</t>
  </si>
  <si>
    <t>EUR</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</si>
  <si>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</si>
  <si>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EUR/hod</t>
  </si>
  <si>
    <t>Čistá súčasná hodnota z projektu</t>
  </si>
  <si>
    <t>Finančné prínosy</t>
  </si>
  <si>
    <t>Ekonomické prínosy</t>
  </si>
  <si>
    <t>koeficient obdobia</t>
  </si>
  <si>
    <t>Finančná (FNPV)</t>
  </si>
  <si>
    <t>Ekonomická (ENPV)</t>
  </si>
  <si>
    <t>Kumulovaná diskont. návratnosť ENPV</t>
  </si>
  <si>
    <t>Obdobie</t>
  </si>
  <si>
    <t>rozdiel</t>
  </si>
  <si>
    <t>t1</t>
  </si>
  <si>
    <t>t2</t>
  </si>
  <si>
    <t>t3</t>
  </si>
  <si>
    <t>t4</t>
  </si>
  <si>
    <t>t5</t>
  </si>
  <si>
    <t>t6</t>
  </si>
  <si>
    <t>t7</t>
  </si>
  <si>
    <t>t8</t>
  </si>
  <si>
    <t>t9</t>
  </si>
  <si>
    <t>t10</t>
  </si>
  <si>
    <t>SPOLU</t>
  </si>
  <si>
    <t>Cashflow projektu</t>
  </si>
  <si>
    <t>počet / rok</t>
  </si>
  <si>
    <t>hod.</t>
  </si>
  <si>
    <t>Kvalitatívne prínosy</t>
  </si>
  <si>
    <t>Parameter</t>
  </si>
  <si>
    <t>Počet podaní</t>
  </si>
  <si>
    <t>Výška administratívneho poplatku</t>
  </si>
  <si>
    <t>Počet zamestnancov vybavujúcich agendu</t>
  </si>
  <si>
    <t>Priame prínosy</t>
  </si>
  <si>
    <t>Nepriame prínosy</t>
  </si>
  <si>
    <t>Prínosy spolu</t>
  </si>
  <si>
    <t>Administratívne poplatky</t>
  </si>
  <si>
    <t>Ostatné daňové a nedaňové príjmy</t>
  </si>
  <si>
    <t>Cena ušetreného času používateľa</t>
  </si>
  <si>
    <t>Kvalitatívne prínosy vo finančnom vyjadrení</t>
  </si>
  <si>
    <t>Organizácia</t>
  </si>
  <si>
    <t>Ulica</t>
  </si>
  <si>
    <t>PSČ</t>
  </si>
  <si>
    <t>Web</t>
  </si>
  <si>
    <t>IČO</t>
  </si>
  <si>
    <t>Spracovateľ</t>
  </si>
  <si>
    <t xml:space="preserve">    Titul, Meno, Priezvisko</t>
  </si>
  <si>
    <t xml:space="preserve">Kontakt na spracovateľa    </t>
  </si>
  <si>
    <t xml:space="preserve">    Email, telefón</t>
  </si>
  <si>
    <t>Hlavička tabuľky</t>
  </si>
  <si>
    <t>Popisná informácia</t>
  </si>
  <si>
    <t>Jednotlivé informácie sú farebne odlíšené nasledovne:</t>
  </si>
  <si>
    <t>Automaticky vypočitavané hodnoty</t>
  </si>
  <si>
    <t>Miesto na vpisovanie vlastných hodnôt</t>
  </si>
  <si>
    <t>Preddefinované konštanty</t>
  </si>
  <si>
    <t>HW</t>
  </si>
  <si>
    <t>SW</t>
  </si>
  <si>
    <t>Všeobecný materiál</t>
  </si>
  <si>
    <t>Variabilné výdavky</t>
  </si>
  <si>
    <t>Výdavky spolu</t>
  </si>
  <si>
    <t>ENPV</t>
  </si>
  <si>
    <t>Obstaranie, inštalácia SW produktu vrátane licencie k SW</t>
  </si>
  <si>
    <t>013 Softvér</t>
  </si>
  <si>
    <t>Kód EKO klasifikácie</t>
  </si>
  <si>
    <t>Účet/skupina výdavkov</t>
  </si>
  <si>
    <t>Vytvorenie aplikácie</t>
  </si>
  <si>
    <t>Školenia spojené so SW a aplikáciou</t>
  </si>
  <si>
    <t>518 Ostatné služby</t>
  </si>
  <si>
    <t>Prevádzka vytvoreného riešenia</t>
  </si>
  <si>
    <t>Poplatky vlastníkovi SW produktu - údržba / support k licenciám</t>
  </si>
  <si>
    <t>511 Opravy a udržiavanie</t>
  </si>
  <si>
    <t>Upgrade SW produktu</t>
  </si>
  <si>
    <t>Poplatky za udržanie funkčnosti / dostupnosti aplikácie / update</t>
  </si>
  <si>
    <t>Aplikačná podpora / helpdesk</t>
  </si>
  <si>
    <t>Rozvoj - doplnenie funkcionality aplikácie / upgrade</t>
  </si>
  <si>
    <t>Personálne náklady spojené s prevádzkou SW produktu a aplikácie</t>
  </si>
  <si>
    <t>Obstaranie</t>
  </si>
  <si>
    <t>Prevádzka riešenia</t>
  </si>
  <si>
    <t>Nákup, inštalácia a sprevádzkovanie HW 
vrátane systémového SW</t>
  </si>
  <si>
    <t>Nákup, inštalácia a sprevádzkovanie HW
 vrátane systémového SW</t>
  </si>
  <si>
    <t>Školenia spojené s HW</t>
  </si>
  <si>
    <t>022 Samostatné hnuteľné veci
 a súbory hnuteľných vecí</t>
  </si>
  <si>
    <t>Poplatky dodávateľovi podpory HW - údržba/maintenance</t>
  </si>
  <si>
    <t>Upgrade HW</t>
  </si>
  <si>
    <t>Náklady na priestory, energie</t>
  </si>
  <si>
    <t>Personálne náklady spojené s prevádzkou HW</t>
  </si>
  <si>
    <t>Náklady na obstaranie a prevádzku HW</t>
  </si>
  <si>
    <t>Náklady na obstaranie a prevádzku SW</t>
  </si>
  <si>
    <t>Celkové náklady na vlastníctvo (TCO)</t>
  </si>
  <si>
    <t>Rok</t>
  </si>
  <si>
    <t>HW sumár obstaranie</t>
  </si>
  <si>
    <t>HW sumár prevádzka</t>
  </si>
  <si>
    <t xml:space="preserve">Spolu </t>
  </si>
  <si>
    <t>Spolu</t>
  </si>
  <si>
    <t>SW produkty</t>
  </si>
  <si>
    <t>Aplikácie</t>
  </si>
  <si>
    <t>SW produkty - sumár obstaranie</t>
  </si>
  <si>
    <t>SW produkty - sumár prevádzka</t>
  </si>
  <si>
    <t>Aplikácie - sumár obstaranie</t>
  </si>
  <si>
    <t>Aplikácie - sumár prevádzka</t>
  </si>
  <si>
    <t xml:space="preserve">Prvý rok, ktorým výpočet CBA a TCO začína, rok začatia projektu </t>
  </si>
  <si>
    <t>Názov riešenia</t>
  </si>
  <si>
    <t>112 Zásoby</t>
  </si>
  <si>
    <t>Číslo projektu ITMS</t>
  </si>
  <si>
    <t>Vytvorenie riešenia - obstaranie</t>
  </si>
  <si>
    <t>BCR</t>
  </si>
  <si>
    <t>Publicita a informovanosť</t>
  </si>
  <si>
    <t>INDIKATÍVNY ROZPOČET SPOLU</t>
  </si>
  <si>
    <t>Rozdiel</t>
  </si>
  <si>
    <t>NPV</t>
  </si>
  <si>
    <t>HW (aj systémový SW) sumár obstaranie</t>
  </si>
  <si>
    <t>HW (aj systémový SW) sumár prevádzka</t>
  </si>
  <si>
    <t>organizácia A</t>
  </si>
  <si>
    <t>organizácia B</t>
  </si>
  <si>
    <t>organizácia C</t>
  </si>
  <si>
    <t>TO BE</t>
  </si>
  <si>
    <t>organizácia ...</t>
  </si>
  <si>
    <t>Výsledná hodnota</t>
  </si>
  <si>
    <t>Všetky prínosové položky sú automaticky vypočítané na základe údajov uvedených v záložkách TCO, spotrebované cloudové služby a Parametre - Agendové IS</t>
  </si>
  <si>
    <t>Všetky výdavkové položky sú automaticky vypočítané na základe údajov uvedených v záložkách TCO a Parametre - Agendové IS</t>
  </si>
  <si>
    <t>FIRR</t>
  </si>
  <si>
    <t>EIRR</t>
  </si>
  <si>
    <t>FNPV</t>
  </si>
  <si>
    <t>pomer prínosov a nákladov</t>
  </si>
  <si>
    <t>finančná vnútorná výnosová miera (%)</t>
  </si>
  <si>
    <t>ekonomická vnútorná výnosová miera (%)</t>
  </si>
  <si>
    <t>Minimálna hodnota</t>
  </si>
  <si>
    <t>-</t>
  </si>
  <si>
    <t>Výsledok CBA</t>
  </si>
  <si>
    <t>Priemerná mzda vo verejnej správe (aktuálna, W_ps)</t>
  </si>
  <si>
    <t xml:space="preserve">Priemerná mzda v NH (Cperc) </t>
  </si>
  <si>
    <t>Náklady IT systém</t>
  </si>
  <si>
    <t>FTE úradník</t>
  </si>
  <si>
    <t>FTE</t>
  </si>
  <si>
    <t>Administrtívny poplatok</t>
  </si>
  <si>
    <t>človeko-hod.</t>
  </si>
  <si>
    <t>Cena ušetreného času používateľa
(S pravidlom polovice)</t>
  </si>
  <si>
    <t>Cena ušetreného času úradníka</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</si>
  <si>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</si>
  <si>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Materiálové náklady</t>
  </si>
  <si>
    <t>Náklady na budúce riešenie</t>
  </si>
  <si>
    <t>Čas potrebný na vypracovanie a doručenie podania (ušetrený čas používateľa)</t>
  </si>
  <si>
    <t>Trvanie spracovania podania (ušetrený čas úradníka)</t>
  </si>
  <si>
    <t>Zníženie kvalitatívnych prínosov</t>
  </si>
  <si>
    <t>Zníženie očakávaného ušetreného času úradníka</t>
  </si>
  <si>
    <t>Zníženie očakávaného ušetreného času používateľa</t>
  </si>
  <si>
    <t>Zníženie počtu podaní v budúcom stave</t>
  </si>
  <si>
    <t>Zvýšenie nákladov - TCO celkovo</t>
  </si>
  <si>
    <t>Zvýšenie CAPEX</t>
  </si>
  <si>
    <t>Rozdiel v nákladoch medzi existujúcim a navrhovaným riešením</t>
  </si>
  <si>
    <t>Prínosy</t>
  </si>
  <si>
    <t xml:space="preserve">Úradníci (€) </t>
  </si>
  <si>
    <t>Občania (€)</t>
  </si>
  <si>
    <t>Úradníci (FTE)</t>
  </si>
  <si>
    <t>IT - CAPEX</t>
  </si>
  <si>
    <t>IT - OPEX</t>
  </si>
  <si>
    <t>N/A</t>
  </si>
  <si>
    <t>Nevyčíslené spoločenské prínosy</t>
  </si>
  <si>
    <t>...</t>
  </si>
  <si>
    <t>(prosíme doplniť)...</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</si>
  <si>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</si>
  <si>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</si>
  <si>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AS IS</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</si>
  <si>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</si>
  <si>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</si>
  <si>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</si>
  <si>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</si>
  <si>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</si>
  <si>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</si>
  <si>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</si>
  <si>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</si>
  <si>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</si>
  <si>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</si>
  <si>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</si>
  <si>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</si>
  <si>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</si>
  <si>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</si>
  <si>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</si>
  <si>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</si>
  <si>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</si>
  <si>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</si>
  <si>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</si>
  <si>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</si>
  <si>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</si>
  <si>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</si>
  <si>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</si>
  <si>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</si>
  <si>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</si>
  <si>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</si>
  <si>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</si>
  <si>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</si>
  <si>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</si>
  <si>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</si>
  <si>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</si>
  <si>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</si>
  <si>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</si>
  <si>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</si>
  <si>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</si>
  <si>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</si>
  <si>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</si>
  <si>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</si>
  <si>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</si>
  <si>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Zoznam hárkov s vysvetlením a pokynmi</t>
  </si>
  <si>
    <t>Sumarizácia</t>
  </si>
  <si>
    <t>TCO</t>
  </si>
  <si>
    <t>Faktory</t>
  </si>
  <si>
    <t>Hárok</t>
  </si>
  <si>
    <t>Účel hárku</t>
  </si>
  <si>
    <t>Vymenovanie a popísanie nevyčíslených spoločenských prínosov</t>
  </si>
  <si>
    <t>Sumarizácia výsledkov CBA podľa prínosov a modulov</t>
  </si>
  <si>
    <t>Výsledky CBA na agregátnej úrovni, výpočet BCR</t>
  </si>
  <si>
    <t>Žiadne</t>
  </si>
  <si>
    <t>Vstupy od zhotoviteľa (žlté polia)</t>
  </si>
  <si>
    <t>Automatický výpočet citlivosti výsledkov CBA na zmeny parametrov</t>
  </si>
  <si>
    <t>Vstupné parametre pre jednotlivé moduly/životné situácie: počty podaní, trvania času</t>
  </si>
  <si>
    <t>Všetky relevantné žlté polia</t>
  </si>
  <si>
    <t>Zhrnutie celkových nákladov na vlastníctvo oboch alternatív projektu</t>
  </si>
  <si>
    <t xml:space="preserve">Náklady na vlastníctvo softvéru alternatívy 1 (AS IS) </t>
  </si>
  <si>
    <t xml:space="preserve">Náklady na vlastníctvo hardvéru alternatívy 1 (AS IS) </t>
  </si>
  <si>
    <t xml:space="preserve">Náklady na vlastníctvo softvéru alternatívy 2 (TO BE) </t>
  </si>
  <si>
    <t>Náklady na vlastníctvo hardvéru alternatívy 2 (TO BE)</t>
  </si>
  <si>
    <t>Spoločné vstupné parametre pre ocenenie prínosov a výpočet CBA</t>
  </si>
  <si>
    <t>Aktuálne priemerné mzdy v hospodárstve podľa ŠÚ SR, rok začiatku projektu</t>
  </si>
  <si>
    <t>Riadenie projektu</t>
  </si>
  <si>
    <t>Riadenie a publicita</t>
  </si>
  <si>
    <t>Projektové riadenie</t>
  </si>
  <si>
    <t>Počet podaní / volaní</t>
  </si>
  <si>
    <t>Fond pracovnej doby - VS (FPDvs)</t>
  </si>
  <si>
    <t>hod/rok</t>
  </si>
  <si>
    <t>Fond pracovnej doby - NH (FPDnh)</t>
  </si>
  <si>
    <t xml:space="preserve">Cper = (W_ps * Odvody) / Fond pracovnej doby. Odvody (SP, ZP, DP) sú 35,2%“. Osobné náklady sú faktorom prevádzkových variabilných nákladov.
</t>
  </si>
  <si>
    <t>Položka</t>
  </si>
  <si>
    <t>Merná jednotka</t>
  </si>
  <si>
    <t>Počet</t>
  </si>
  <si>
    <t>Detailný rozpočet pre vývoj navrhovaného riešenia (TO BE)</t>
  </si>
  <si>
    <t>Položkový rozpočet pre nákup licencií a HW (TO BE)</t>
  </si>
  <si>
    <t>Výstupné náklady</t>
  </si>
  <si>
    <t>Technologické požiadavky</t>
  </si>
  <si>
    <t>SW a Aplikácie - výstupné náklady</t>
  </si>
  <si>
    <t>SW a Aplikácie - Výstupné náklady</t>
  </si>
  <si>
    <t>Popis
(Vrátane zdôvodnenia zvoleného technologického variantu - IaaS, PaaS, vývoj vlastnej aplikácie, COTS riešenie)</t>
  </si>
  <si>
    <t>Koncová služba</t>
  </si>
  <si>
    <t>TO BE - AS IS (€, NPV)</t>
  </si>
  <si>
    <t>TO BE - AS IS (€, SUM)</t>
  </si>
  <si>
    <t>Kontrola TO BE</t>
  </si>
  <si>
    <t>Finančný cashflow (s DPH)</t>
  </si>
  <si>
    <t>Ekonomický cashflow (bez DPH)</t>
  </si>
  <si>
    <t>Náklady s DPH</t>
  </si>
  <si>
    <t>ekonomická čistá súčasná hodnota (eur bez DPH)</t>
  </si>
  <si>
    <t>finančná čistá súčasná hodnota (eur s DPH)</t>
  </si>
  <si>
    <t>Modul</t>
  </si>
  <si>
    <t>Fáza projektu</t>
  </si>
  <si>
    <t>Analýza a dizajn</t>
  </si>
  <si>
    <t>Nasadenie</t>
  </si>
  <si>
    <t>% dotácia</t>
  </si>
  <si>
    <t>Počet MDs</t>
  </si>
  <si>
    <t>Inkrement</t>
  </si>
  <si>
    <t>Start</t>
  </si>
  <si>
    <t>Koniec</t>
  </si>
  <si>
    <t>Trvanie</t>
  </si>
  <si>
    <t>#</t>
  </si>
  <si>
    <t>MOD_01</t>
  </si>
  <si>
    <t>MOD_02</t>
  </si>
  <si>
    <t>MOD_03</t>
  </si>
  <si>
    <t>MOD_04</t>
  </si>
  <si>
    <t>MOD_05</t>
  </si>
  <si>
    <t>MOD_06</t>
  </si>
  <si>
    <t>MOD_07</t>
  </si>
  <si>
    <t>MOD_08</t>
  </si>
  <si>
    <t>MOD_09</t>
  </si>
  <si>
    <t>MOD_10</t>
  </si>
  <si>
    <t>MOD_11</t>
  </si>
  <si>
    <t>MOD_12</t>
  </si>
  <si>
    <t>MOD_13</t>
  </si>
  <si>
    <t>MOD_14</t>
  </si>
  <si>
    <t>MOD_15</t>
  </si>
  <si>
    <t>MOD_16</t>
  </si>
  <si>
    <t>MOD_17</t>
  </si>
  <si>
    <t>MOD_18</t>
  </si>
  <si>
    <t>MOD_19</t>
  </si>
  <si>
    <t>MOD_20</t>
  </si>
  <si>
    <t>MOD_21</t>
  </si>
  <si>
    <t>Rok dodania</t>
  </si>
  <si>
    <t>Moduly</t>
  </si>
  <si>
    <t>Rozvoj</t>
  </si>
  <si>
    <t>Inkrement 1</t>
  </si>
  <si>
    <t>Inkrement 2</t>
  </si>
  <si>
    <t>Inkrement 3</t>
  </si>
  <si>
    <t>INK START</t>
  </si>
  <si>
    <t>INK END</t>
  </si>
  <si>
    <t>Začiatok</t>
  </si>
  <si>
    <t>Harmonogram v mesiacoch od spustenia</t>
  </si>
  <si>
    <t>Participácia na vývoju SW (analýzy, testovanie a pod.)</t>
  </si>
  <si>
    <t>Participácia na vývoji Aplikácie (analýzy, testovanie a pod.)</t>
  </si>
  <si>
    <t>SW / HW</t>
  </si>
  <si>
    <t>Jednotková cena €</t>
  </si>
  <si>
    <t>Celková suma €</t>
  </si>
  <si>
    <t>Účtovná položka</t>
  </si>
  <si>
    <t>022 Samostatné hnuteľné veci a súbory hnuteľných vecí</t>
  </si>
  <si>
    <t>Zdroj ceny (odkazy na cenníky, prieskumy a pod.)</t>
  </si>
  <si>
    <t>POZNÁMKA</t>
  </si>
  <si>
    <r>
      <t xml:space="preserve">VÝSLEDKY TESTOV
</t>
    </r>
    <r>
      <rPr>
        <sz val="10"/>
        <rFont val="Calibri Light"/>
        <family val="2"/>
        <scheme val="major"/>
      </rPr>
      <t>(status)</t>
    </r>
  </si>
  <si>
    <r>
      <t xml:space="preserve">Použité 
PROSTREDIE
</t>
    </r>
    <r>
      <rPr>
        <sz val="10"/>
        <rFont val="Calibri Light"/>
        <family val="2"/>
        <scheme val="major"/>
      </rPr>
      <t>pre test
(overenie funkčnosti)</t>
    </r>
  </si>
  <si>
    <r>
      <t xml:space="preserve">Použité 
TESTOVACIE DÁTA
</t>
    </r>
    <r>
      <rPr>
        <sz val="10"/>
        <rFont val="Calibri Light"/>
        <family val="2"/>
        <scheme val="major"/>
      </rPr>
      <t>pri teste</t>
    </r>
  </si>
  <si>
    <t>Identifikácia 
TEST CASE</t>
  </si>
  <si>
    <t>Identifikácia
USE CASE</t>
  </si>
  <si>
    <r>
      <t xml:space="preserve">SPôSOB DODANIA
</t>
    </r>
    <r>
      <rPr>
        <sz val="10"/>
        <rFont val="Calibri Light"/>
        <family val="2"/>
        <scheme val="major"/>
      </rPr>
      <t xml:space="preserve"> (implementácia dodávateľom)</t>
    </r>
  </si>
  <si>
    <t>ID návrhu riešenia z 
detailný návrh riešenia (DNR)</t>
  </si>
  <si>
    <r>
      <t>Poznámka</t>
    </r>
    <r>
      <rPr>
        <sz val="10"/>
        <rFont val="Calibri Light"/>
        <family val="2"/>
        <scheme val="major"/>
      </rPr>
      <t xml:space="preserve">
(doplňujúci popis; príp. ODKAZ na popis v ponuke)</t>
    </r>
  </si>
  <si>
    <t>Kde je vo Vašej PONUKE popísané riešenie ?</t>
  </si>
  <si>
    <r>
      <t>Odpoveď UCHÁDZAČA 
v procese VO</t>
    </r>
    <r>
      <rPr>
        <b/>
        <sz val="10"/>
        <rFont val="Tahoma"/>
        <family val="2"/>
      </rPr>
      <t/>
    </r>
  </si>
  <si>
    <r>
      <t xml:space="preserve">POZNÁMKA
</t>
    </r>
    <r>
      <rPr>
        <sz val="10"/>
        <rFont val="Calibri Light"/>
        <family val="2"/>
        <scheme val="major"/>
      </rPr>
      <t>(napr. legislatívne východiská)</t>
    </r>
  </si>
  <si>
    <t>ZÁVISLOSŤ
RIZIKO
EXTERNÁ INTEGRÁCIA</t>
  </si>
  <si>
    <t>UCP</t>
  </si>
  <si>
    <t>TCF</t>
  </si>
  <si>
    <t>ECF</t>
  </si>
  <si>
    <t>UAW</t>
  </si>
  <si>
    <t>POCET UC</t>
  </si>
  <si>
    <t>VLASTNÍK 
POŽIADAVKY</t>
  </si>
  <si>
    <t>DETAILNÝ POPIS POŽIADAVKY</t>
  </si>
  <si>
    <t>NÁZOV
POŽIADAVKY</t>
  </si>
  <si>
    <t>OBLASŤ POŽIADAVKY</t>
  </si>
  <si>
    <r>
      <t xml:space="preserve">KATEGÓRIA POŽIADAVKY
</t>
    </r>
    <r>
      <rPr>
        <sz val="10"/>
        <rFont val="Calibri Light"/>
        <family val="2"/>
        <scheme val="major"/>
      </rPr>
      <t>_funkčná požiadavka
_nefunkčná požiadavka
_technická požiadavka</t>
    </r>
  </si>
  <si>
    <r>
      <t xml:space="preserve">ID 
POŽIADAVKY
</t>
    </r>
    <r>
      <rPr>
        <sz val="10"/>
        <rFont val="Calibri Light"/>
        <family val="2"/>
        <scheme val="major"/>
      </rPr>
      <t>(zvoľte si konvenciu označovania)</t>
    </r>
  </si>
  <si>
    <r>
      <t xml:space="preserve">KROK 4)
OVERENIE DODANIA
</t>
    </r>
    <r>
      <rPr>
        <sz val="10"/>
        <rFont val="Calibri Light"/>
        <family val="2"/>
        <scheme val="major"/>
      </rPr>
      <t>OBJEDNÁVATEĽOM</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</si>
  <si>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</si>
  <si>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</si>
  <si>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</si>
  <si>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t># roku</t>
  </si>
  <si>
    <t>PF</t>
  </si>
  <si>
    <t>Špeciálne znalosti a zručnosti používateľov</t>
  </si>
  <si>
    <t>Poskytuje priamy prístup k tretím systémom</t>
  </si>
  <si>
    <t>Osobitné bezpečnostné prvky</t>
  </si>
  <si>
    <t>Súbežnosť</t>
  </si>
  <si>
    <t>Jednoduchosť zmeny</t>
  </si>
  <si>
    <t>Prenosnosť</t>
  </si>
  <si>
    <t>Jednoduchosť používania</t>
  </si>
  <si>
    <t>Jednoduchosť inštalácie</t>
  </si>
  <si>
    <t>Znovapoužiteľnosť</t>
  </si>
  <si>
    <t>Komplexnosť vnútorných procesov</t>
  </si>
  <si>
    <t>Efektívnosť pre používateľa</t>
  </si>
  <si>
    <t>Výkon</t>
  </si>
  <si>
    <t>Distribuovaný systém</t>
  </si>
  <si>
    <t>Total Factor</t>
  </si>
  <si>
    <t>T13</t>
  </si>
  <si>
    <t>T12</t>
  </si>
  <si>
    <t>T11</t>
  </si>
  <si>
    <t>T10</t>
  </si>
  <si>
    <t>T9</t>
  </si>
  <si>
    <t>T8</t>
  </si>
  <si>
    <t>T7</t>
  </si>
  <si>
    <t>T6</t>
  </si>
  <si>
    <t>T5</t>
  </si>
  <si>
    <t>T4</t>
  </si>
  <si>
    <t>T3</t>
  </si>
  <si>
    <t>T2</t>
  </si>
  <si>
    <t>T1</t>
  </si>
  <si>
    <t>Zložitý programovací jazyk</t>
  </si>
  <si>
    <t>Zamestnanci na čiastočný úväzok</t>
  </si>
  <si>
    <t>Stabilita požiadaviek</t>
  </si>
  <si>
    <t>Motivácia</t>
  </si>
  <si>
    <t>Schopnosť vedúcich analytikov</t>
  </si>
  <si>
    <t>Skúsenosti s objektovo orientovaným prístupom</t>
  </si>
  <si>
    <t>Skúsenosti s implementáciou</t>
  </si>
  <si>
    <t>Celkom</t>
  </si>
  <si>
    <t>Zložitosť</t>
  </si>
  <si>
    <t>Podnikateľ (G2B)</t>
  </si>
  <si>
    <t>Typ používateľa</t>
  </si>
  <si>
    <t>Používateľ</t>
  </si>
  <si>
    <t>Inkrement 20</t>
  </si>
  <si>
    <t>Inkrement 19</t>
  </si>
  <si>
    <t>Inkrement 18</t>
  </si>
  <si>
    <t>Inkrement 17</t>
  </si>
  <si>
    <t>Inkrement 16</t>
  </si>
  <si>
    <t>Inkrement 15</t>
  </si>
  <si>
    <t>Inkrement 14</t>
  </si>
  <si>
    <t>Inkrement 13</t>
  </si>
  <si>
    <t>Inkrement 12</t>
  </si>
  <si>
    <t>Inkrement 11</t>
  </si>
  <si>
    <t>Inkrement 10</t>
  </si>
  <si>
    <t>Inkrement 9</t>
  </si>
  <si>
    <t>Inkrement 8</t>
  </si>
  <si>
    <t>Inkrement 7</t>
  </si>
  <si>
    <t>Inkrement 6</t>
  </si>
  <si>
    <t>Inkrement 5</t>
  </si>
  <si>
    <t>Inkrement 4</t>
  </si>
  <si>
    <t>Trvanie v mesiacoch</t>
  </si>
  <si>
    <t># Inkrementu</t>
  </si>
  <si>
    <t>Pozícia</t>
  </si>
  <si>
    <t>IT architekt</t>
  </si>
  <si>
    <t>IT tester</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</si>
  <si>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</si>
  <si>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</si>
  <si>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</si>
  <si>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</si>
  <si>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</si>
  <si>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</si>
  <si>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</si>
  <si>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</si>
  <si>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</si>
  <si>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</si>
  <si>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Poznámka</t>
  </si>
  <si>
    <t>V projekte</t>
  </si>
  <si>
    <t>Pocet MDs</t>
  </si>
  <si>
    <t>Suma</t>
  </si>
  <si>
    <t>Priemerná vážená sadzba</t>
  </si>
  <si>
    <t>Počet MD</t>
  </si>
  <si>
    <t>% v projekte</t>
  </si>
  <si>
    <t>MOD_#</t>
  </si>
  <si>
    <t>Inštalačné práce súvisiace s nakupovaným HW</t>
  </si>
  <si>
    <t>Aplikačná podpora</t>
  </si>
  <si>
    <t>Supporty</t>
  </si>
  <si>
    <t>IT Architekt</t>
  </si>
  <si>
    <t>Vlastník procesov</t>
  </si>
  <si>
    <t>Dátový špecialista</t>
  </si>
  <si>
    <t>Dátový kurátor</t>
  </si>
  <si>
    <t>Špecialista na bezpečnosť</t>
  </si>
  <si>
    <t>Počet pozícií</t>
  </si>
  <si>
    <t>Projektový manažér</t>
  </si>
  <si>
    <t>Finančný manažér</t>
  </si>
  <si>
    <t>Počet hodín</t>
  </si>
  <si>
    <t>Tester</t>
  </si>
  <si>
    <t>Manažér kvality</t>
  </si>
  <si>
    <t>Administratívny pracovník</t>
  </si>
  <si>
    <t>Vazena sadzba - externe</t>
  </si>
  <si>
    <t>Vazena sadzba interné</t>
  </si>
  <si>
    <t>Pocet MDs - interne</t>
  </si>
  <si>
    <t>Suma internych prac</t>
  </si>
  <si>
    <t>Suma Externych prac</t>
  </si>
  <si>
    <t>Náklady na pozíciu</t>
  </si>
  <si>
    <t>Pocet MDs - externe</t>
  </si>
  <si>
    <r>
      <t xml:space="preserve">NÁZOV MODULU
</t>
    </r>
    <r>
      <rPr>
        <sz val="10"/>
        <rFont val="Calibri Light"/>
        <family val="2"/>
        <scheme val="major"/>
      </rPr>
      <t>(príslušnosť požiadavky k modulu)</t>
    </r>
  </si>
  <si>
    <t>Občan (G2C)</t>
  </si>
  <si>
    <t>Zahraničná osoba (G2A)</t>
  </si>
  <si>
    <t>Zamestnanec inštitúcie verejnej správy (G2E)</t>
  </si>
  <si>
    <t>Inštitúcia verejnej správy (G2G)</t>
  </si>
  <si>
    <t>ISVS verejnej správy (G2IS G)</t>
  </si>
  <si>
    <t>ISVS mimo verejnej správy (G2IS B)</t>
  </si>
  <si>
    <t>Iné</t>
  </si>
  <si>
    <t>Subjekt / Objekt</t>
  </si>
  <si>
    <t>Váha</t>
  </si>
  <si>
    <t>Index</t>
  </si>
  <si>
    <t>Priemerná mesačná hrubá mzda vo verejnej správe za 1. - 3. Q./2020 (obdobie aktualizovať k času predloženia dokumentu), podľa ŠÚ SR</t>
  </si>
  <si>
    <t>Priemerná mesačná hrubá mzda v národnom hospodárstve SR za 1. - 3. Q./2020 (obdobie aktualizovať k času predloženia dokumentu), podľa ŠÚ SR</t>
  </si>
  <si>
    <t xml:space="preserve">Rok 2021 má dokopy 251 pracovných dní, t.j. 1882,5 pracovných hodín. S platenými sviatkami má rok 261 pracovných dní, t.j. 1957.5 pracovných hodín. 7,5 hodinový pracovný čas (obdobie aktualizovať k času predloženia dokumentu), podľa https://calendar.zoznam.sk/worktime-sksk.php </t>
  </si>
  <si>
    <t>Rok 2021 má dokopy 251 pracovných dní, t.j. 2008 pracovných hodín. S platenými sviatkami má rok 261 pracovných dní, t.j. 2088 pracovných hodín.. 8 hodinový pracovný čas (obdobie aktualizovať k času predloženia dokumentu), podľa https://calendar.zoznam.sk/worktime-sksk.php</t>
  </si>
  <si>
    <t>Znalosť vývojového procesu</t>
  </si>
  <si>
    <t xml:space="preserve"> - </t>
  </si>
  <si>
    <t>HW a SW</t>
  </si>
  <si>
    <t>Typ aktivity</t>
  </si>
  <si>
    <t>Oblasť výdavku</t>
  </si>
  <si>
    <t>Vývoj aplikácií</t>
  </si>
  <si>
    <t>Int / ext</t>
  </si>
  <si>
    <t>Projekový manažment</t>
  </si>
  <si>
    <t>Publicita</t>
  </si>
  <si>
    <t>Prevádzka</t>
  </si>
  <si>
    <t>Nákup HW a SW</t>
  </si>
  <si>
    <t>Externé</t>
  </si>
  <si>
    <t>Interné</t>
  </si>
  <si>
    <t>Zdroj finacovania - %</t>
  </si>
  <si>
    <t>Zdroje financovania - SUMA</t>
  </si>
  <si>
    <t>Suma %</t>
  </si>
  <si>
    <t>CBA - Agendové IS</t>
  </si>
  <si>
    <t>Zdroje Financovania</t>
  </si>
  <si>
    <t>Výdavky - Agendové IS</t>
  </si>
  <si>
    <t>Parametre - Agendové IS</t>
  </si>
  <si>
    <t>MODULY_CBA</t>
  </si>
  <si>
    <t>INKREMENTY</t>
  </si>
  <si>
    <t>KATALOG_POZIADAVKY</t>
  </si>
  <si>
    <t>TCF_v02</t>
  </si>
  <si>
    <t>ECF_v02</t>
  </si>
  <si>
    <t>UAW_v02</t>
  </si>
  <si>
    <t>AKTIVITY_POZICIE</t>
  </si>
  <si>
    <t>POZICIE_INTERNE</t>
  </si>
  <si>
    <t>Rozpocet - Vyvoj aplikacii</t>
  </si>
  <si>
    <t>Rozpocet - HW a licencie</t>
  </si>
  <si>
    <t>Harmonogram</t>
  </si>
  <si>
    <t>TCO AS IS - SW</t>
  </si>
  <si>
    <t>TCO AS IS - HW</t>
  </si>
  <si>
    <t>TCO TO BE - SW</t>
  </si>
  <si>
    <t>TCO TO BE - HW</t>
  </si>
  <si>
    <t>Relevantné moduly, ktoré budú v rámci projektu realizované</t>
  </si>
  <si>
    <t>Definované inkrementy, v ktorých budú realizované čiastkové dodávky</t>
  </si>
  <si>
    <t>Detailne definované požiadavky projektu</t>
  </si>
  <si>
    <t>Komplexný technický faktor pre projekt v zmysle metodiky UCP</t>
  </si>
  <si>
    <t>Komplexný environmentálny faktor pre projekt v zmysle metodiky UCP</t>
  </si>
  <si>
    <t>Definované pozície a role, ktoré budú projektom dotknuté</t>
  </si>
  <si>
    <t>Detailné rozdelenie rozpočtu projektu na externé pozície a ich miera zapojenia v aktivitách</t>
  </si>
  <si>
    <t>Detailné definovanie potreby interných kapacít a ich rozdelenie v aktivitách</t>
  </si>
  <si>
    <t>Rámcový harmonogram pre jednotlivé moduly a ich dodávku</t>
  </si>
  <si>
    <t>Rozdelenie zdrojov financovania jendotlivých nákladových položiek projektu</t>
  </si>
  <si>
    <t>Úvod</t>
  </si>
  <si>
    <t>Základné sumarizačné údaje o projekte a klientovi</t>
  </si>
  <si>
    <t>Farba sekcie</t>
  </si>
  <si>
    <t>Doplnenie % rozdelenia zdrojov</t>
  </si>
  <si>
    <t>E1</t>
  </si>
  <si>
    <t>E2</t>
  </si>
  <si>
    <t>E3</t>
  </si>
  <si>
    <t>E4</t>
  </si>
  <si>
    <t>E5</t>
  </si>
  <si>
    <t>E6</t>
  </si>
  <si>
    <t>E7</t>
  </si>
  <si>
    <t>E8</t>
  </si>
  <si>
    <t>Preddpočítaná hodnota s možnosťou zmeny</t>
  </si>
  <si>
    <t>Prínosy agendové</t>
  </si>
  <si>
    <t>Výpočet prínosov projektu na základe vstupných parametrov</t>
  </si>
  <si>
    <t>Polia "Ostatné daňové a nedaňové príjmy" (ak projekt také generuje)</t>
  </si>
  <si>
    <t>Analýza citlivosti</t>
  </si>
  <si>
    <t>Procesné mapy</t>
  </si>
  <si>
    <t>Procesné mapy súčasného a budúceho stavu biznis procesov.</t>
  </si>
  <si>
    <t>Procesy AS IS</t>
  </si>
  <si>
    <t xml:space="preserve">Zdroj dát pre odhad časovej náročnosti súčasných procesov. </t>
  </si>
  <si>
    <t>Procesy TO BE</t>
  </si>
  <si>
    <t xml:space="preserve">Zdroj dát pre odhad časovej náročnosti budúcich procesov. </t>
  </si>
  <si>
    <t>Procesné mapy ako obrázky.</t>
  </si>
  <si>
    <t>Relevantné merania podľa procesov a procesných krokov.</t>
  </si>
  <si>
    <t>Zmluvné poplatky</t>
  </si>
  <si>
    <t>521 Mzdové náklady</t>
  </si>
  <si>
    <t>Príloha pre spracovanie biznis case a cost benefit analýzy informačných technológií verejnej správy</t>
  </si>
  <si>
    <t>Kód Projektu a ISVS z MetaIS</t>
  </si>
  <si>
    <t>Hlavná</t>
  </si>
  <si>
    <t>Podporná</t>
  </si>
  <si>
    <t>Spolu za interné kapacity</t>
  </si>
  <si>
    <t>Hodinová sadzba - Hrubá mzda</t>
  </si>
  <si>
    <t>Koeficient odvodov</t>
  </si>
  <si>
    <t>MD Rate s odvodmi</t>
  </si>
  <si>
    <t>Hodinový náklad (superhrubý)</t>
  </si>
  <si>
    <t>Maximálna hod. sadzba (Hruba mzda)</t>
  </si>
  <si>
    <t>Odvody zamestnávateľ</t>
  </si>
  <si>
    <t>Implementácia a testovanie</t>
  </si>
  <si>
    <t>Aplikačné procesy musia byť vykonávané v najvhodnejšom procesore alebo počítači, ktorý je dynamicky určený.</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</si>
  <si>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</si>
  <si>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</si>
  <si>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</si>
  <si>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</si>
  <si>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</si>
  <si>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</si>
  <si>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</si>
  <si>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</si>
  <si>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</si>
  <si>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Súčin</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</si>
  <si>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</si>
  <si>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</si>
  <si>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Poradie</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</si>
  <si>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</si>
  <si>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</si>
  <si>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</si>
  <si>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</si>
  <si>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</si>
  <si>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</si>
  <si>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</si>
  <si>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</si>
  <si>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</si>
  <si>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</si>
  <si>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</si>
  <si>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</si>
  <si>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Aplikácia musí byť špeciálne zabalená a / alebo zdokumentovaná, aby sa uľahčilo jej opätovné použitie, a musí byť prispôsobená používateľom pomocou parametrov.</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</si>
  <si>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</si>
  <si>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</si>
  <si>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</si>
  <si>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</si>
  <si>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</si>
  <si>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</si>
  <si>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</si>
  <si>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</si>
  <si>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</si>
  <si>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</si>
  <si>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</si>
  <si>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Užívateľ neurčil okrem bežného zálohovania žiadne špeciálne požiadavky na fungovanie systému</t>
  </si>
  <si>
    <t>Aplikácia je navrhnutá tak, aby fungovala bez dozoru.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</si>
  <si>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</si>
  <si>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</si>
  <si>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</si>
  <si>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</si>
  <si>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</si>
  <si>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</si>
  <si>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</si>
  <si>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</si>
  <si>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</si>
  <si>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</si>
  <si>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</si>
  <si>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</si>
  <si>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</si>
  <si>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</si>
  <si>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</si>
  <si>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</si>
  <si>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</si>
  <si>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</si>
  <si>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</si>
  <si>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</si>
  <si>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</si>
  <si>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</si>
  <si>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</si>
  <si>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</si>
  <si>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</si>
  <si>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</si>
  <si>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</si>
  <si>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</si>
  <si>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</si>
  <si>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</si>
  <si>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</si>
  <si>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</si>
  <si>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</si>
  <si>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</si>
  <si>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</si>
  <si>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</si>
  <si>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</si>
  <si>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</si>
  <si>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</si>
  <si>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</si>
  <si>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</si>
  <si>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</si>
  <si>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</si>
  <si>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</si>
  <si>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</si>
  <si>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</si>
  <si>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</si>
  <si>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</si>
  <si>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</si>
  <si>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</si>
  <si>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</si>
  <si>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</si>
  <si>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</si>
  <si>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</si>
  <si>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</si>
  <si>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</si>
  <si>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</si>
  <si>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</si>
  <si>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</si>
  <si>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</si>
  <si>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</si>
  <si>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</si>
  <si>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</si>
  <si>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</si>
  <si>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</si>
  <si>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</si>
  <si>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</si>
  <si>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</si>
  <si>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</si>
  <si>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</si>
  <si>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</si>
  <si>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</si>
  <si>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</si>
  <si>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</si>
  <si>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</si>
  <si>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</si>
  <si>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</si>
  <si>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</si>
  <si>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</si>
  <si>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</si>
  <si>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</si>
  <si>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</si>
  <si>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</si>
  <si>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</si>
  <si>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</si>
  <si>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</si>
  <si>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</si>
  <si>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Nápoveda pre danú hodnotu</t>
  </si>
  <si>
    <t>Vlastné OPEX</t>
  </si>
  <si>
    <t>Vlastné CAPEX</t>
  </si>
  <si>
    <t>Externé projetkové riadenie</t>
  </si>
  <si>
    <t>Špecialista na publicitu</t>
  </si>
  <si>
    <t>Externá publicita a informovanosť</t>
  </si>
  <si>
    <t>Manažér pre publicitu</t>
  </si>
  <si>
    <t>Z toho rozpočtové opatrenie</t>
  </si>
  <si>
    <t>Rozpočtové opatrenie %</t>
  </si>
  <si>
    <t>Sadzba v projekte bez DPH</t>
  </si>
  <si>
    <t xml:space="preserve">Pozície z OPII opravnenosti výdavkov </t>
  </si>
  <si>
    <t>IT programátor /vývojár</t>
  </si>
  <si>
    <t>Manažér kybernetickej a informačnej bezpečnosti</t>
  </si>
  <si>
    <t>Špecialista infrašktuktúry/HW špecialista</t>
  </si>
  <si>
    <t>IT konzultant</t>
  </si>
  <si>
    <t>Špecialista pre IT bezpečnosť</t>
  </si>
  <si>
    <t>Riadiaci pracovník (manažér) riešení IT</t>
  </si>
  <si>
    <t>Systémový programátor</t>
  </si>
  <si>
    <t>Softvérový architekt, dizajnér</t>
  </si>
  <si>
    <t>Analytik IKT</t>
  </si>
  <si>
    <t>IT architekt, projektant</t>
  </si>
  <si>
    <t>Databázový dizajnér</t>
  </si>
  <si>
    <t>Špecialista riadenia systému kvality</t>
  </si>
  <si>
    <t>Špecialista v oblasti počítačových sietí</t>
  </si>
  <si>
    <t>Databázový analytik</t>
  </si>
  <si>
    <t>Špecialista informačnej a kybernetickej bezpečnosti</t>
  </si>
  <si>
    <t>Riadiaci pracovník (manažér) informačnej a kybernetickej bezpečnosti</t>
  </si>
  <si>
    <t>ISCO pozícia</t>
  </si>
  <si>
    <t>ISCO kód</t>
  </si>
  <si>
    <t>Mechanik počítačových sietí</t>
  </si>
  <si>
    <t>Správca digitálneho obsahu (Digital Content Manager)</t>
  </si>
  <si>
    <t>Operátor klientskej podpory IKT</t>
  </si>
  <si>
    <t>Technik užívateľskej podpory IKT</t>
  </si>
  <si>
    <t>Aplikačný programátor</t>
  </si>
  <si>
    <t>Špecialista prevádzky mobilných a pevných technológií</t>
  </si>
  <si>
    <t>Pracovníci informačných služieb inde neuvedení</t>
  </si>
  <si>
    <t>Pozicia Vyber</t>
  </si>
  <si>
    <t>Projektovy_manazer</t>
  </si>
  <si>
    <t>IT_programator</t>
  </si>
  <si>
    <t>IT_analytik</t>
  </si>
  <si>
    <t>IT_architekt</t>
  </si>
  <si>
    <t>Kvalita</t>
  </si>
  <si>
    <t>IT_tester</t>
  </si>
  <si>
    <t>Infrastrutkura</t>
  </si>
  <si>
    <t>Databazy</t>
  </si>
  <si>
    <t>IT_konzultant</t>
  </si>
  <si>
    <t>Bezpecnost</t>
  </si>
  <si>
    <t>Skolenie</t>
  </si>
  <si>
    <t>Ine</t>
  </si>
  <si>
    <t>Iná špecifická rola</t>
  </si>
  <si>
    <t>OPII</t>
  </si>
  <si>
    <t>Nazov vyberu</t>
  </si>
  <si>
    <t>ISCO pozicie</t>
  </si>
  <si>
    <t>ISCO kod</t>
  </si>
  <si>
    <t>Manažér pre monitoring</t>
  </si>
  <si>
    <t>Špecialista na Verejné obstarávanie</t>
  </si>
  <si>
    <t>MD Rate bez DPH</t>
  </si>
  <si>
    <t>Suma bez DPH</t>
  </si>
  <si>
    <t>Odmeny v %</t>
  </si>
  <si>
    <t>MDs interné / Suma hlavné</t>
  </si>
  <si>
    <t xml:space="preserve">Suma </t>
  </si>
  <si>
    <t>Počet MDs z UCP</t>
  </si>
  <si>
    <t>% dotácie / pomocne</t>
  </si>
  <si>
    <t>IT Analytik</t>
  </si>
  <si>
    <t>Vlastník údajov</t>
  </si>
  <si>
    <t>Kľúčový používateľ</t>
  </si>
  <si>
    <t>Účtovník</t>
  </si>
  <si>
    <t>Biznis analytik</t>
  </si>
  <si>
    <t>Pracovník v administratíve</t>
  </si>
  <si>
    <t>MODULY</t>
  </si>
  <si>
    <t>modul 2</t>
  </si>
  <si>
    <t>Funkcna poziadavka</t>
  </si>
  <si>
    <t>OPEX / CAPEX</t>
  </si>
  <si>
    <t>ESIF OPEX</t>
  </si>
  <si>
    <t>ESIF CAPEX</t>
  </si>
  <si>
    <t>OPEX</t>
  </si>
  <si>
    <t>CAPEX</t>
  </si>
  <si>
    <t>ks</t>
  </si>
  <si>
    <t>Funkcia 1</t>
  </si>
  <si>
    <t>Funkcia 1 1</t>
  </si>
  <si>
    <t>Garant</t>
  </si>
  <si>
    <t>Ušetrené náklady IT a náklady na materiál</t>
  </si>
  <si>
    <t>Materiál</t>
  </si>
  <si>
    <t>Rok začatia supportu / prevádzky</t>
  </si>
  <si>
    <t>Mesiacov od začiatku</t>
  </si>
  <si>
    <t>POČET PRÍSTUPOVÝCH KANÁLOV / POCET UC</t>
  </si>
  <si>
    <t>ZLOŽITOSŤ POŽIADAVKY</t>
  </si>
  <si>
    <t>VÝSLEDOK ZLOŽITOSTI</t>
  </si>
  <si>
    <t>ODHADNUTÁ PRÁCNOSŤ</t>
  </si>
  <si>
    <t>ČÍSLO
INKREMENTU</t>
  </si>
  <si>
    <t>SPÔSOB OVERENIA
ODBERATEĽOM</t>
  </si>
  <si>
    <t>Počet MDs z rozpočtu</t>
  </si>
  <si>
    <t>Používateľ x</t>
  </si>
  <si>
    <t>Číselník pozícií</t>
  </si>
  <si>
    <t>Súlad s max</t>
  </si>
  <si>
    <t>Korigovaný štart</t>
  </si>
  <si>
    <t>POO OPEX</t>
  </si>
  <si>
    <t>POO CAPEX</t>
  </si>
  <si>
    <t>Ostatné výdavky</t>
  </si>
  <si>
    <t>Ostatné zmiešané výdavky</t>
  </si>
  <si>
    <t>Publicita,  informovanosť, ostatné výdavky</t>
  </si>
  <si>
    <t>637003/637004/...</t>
  </si>
  <si>
    <t>Hlavné etapy</t>
  </si>
  <si>
    <t>Podporné oblasti</t>
  </si>
  <si>
    <t>Etapy projektu</t>
  </si>
  <si>
    <t>Podporná oblasť projektu</t>
  </si>
  <si>
    <t>Trvanie oblasti</t>
  </si>
  <si>
    <t>% etáp</t>
  </si>
  <si>
    <t>Počet FTE v oblasti</t>
  </si>
  <si>
    <t>Počet MDs Hlavné etapy realizácie</t>
  </si>
  <si>
    <t>Počet MDs Podporné oblasti realizácie</t>
  </si>
  <si>
    <t>Max % v projekte na HE</t>
  </si>
  <si>
    <t>Etapa projektu</t>
  </si>
  <si>
    <t>% v etape / podpornej oblasti</t>
  </si>
  <si>
    <t>Trvanie etapy / podpornej oblasti</t>
  </si>
  <si>
    <t>Etapa / oblasť</t>
  </si>
  <si>
    <t>Náklady na existujúce riešenie
(pôvodné riešenie pred realizáciou projektu), ktoré bolo nahradené</t>
  </si>
  <si>
    <t>Riadenie a publicita projektu</t>
  </si>
  <si>
    <t>Verzia dokumentu: v2.3</t>
  </si>
  <si>
    <t>Verzia dokumentu: v2.5</t>
  </si>
  <si>
    <t>Úrad geodézie, kartografie a katastra Slovenskej republiky</t>
  </si>
  <si>
    <t>Chlumeckého 2, P.O.Box 57</t>
  </si>
  <si>
    <t>820 12 Bratislava 212</t>
  </si>
  <si>
    <t>https://www.skgeodesy.sk/sk/</t>
  </si>
  <si>
    <t>00166260</t>
  </si>
  <si>
    <t>Základný digitálny priestorový model SR</t>
  </si>
  <si>
    <t>Distribučné služby</t>
  </si>
  <si>
    <t>Spracovateľské služby</t>
  </si>
  <si>
    <t>FP1</t>
  </si>
  <si>
    <t>ÚGKK SR</t>
  </si>
  <si>
    <t>FP2</t>
  </si>
  <si>
    <t>FP3</t>
  </si>
  <si>
    <t>FP4</t>
  </si>
  <si>
    <t>FP5</t>
  </si>
  <si>
    <t>FP6</t>
  </si>
  <si>
    <t>FP7</t>
  </si>
  <si>
    <t>FP8</t>
  </si>
  <si>
    <t>FP9</t>
  </si>
  <si>
    <t>FP10</t>
  </si>
  <si>
    <t>FP11</t>
  </si>
  <si>
    <t>FP12</t>
  </si>
  <si>
    <t>FP13</t>
  </si>
  <si>
    <t>FP14</t>
  </si>
  <si>
    <t>FP15</t>
  </si>
  <si>
    <t>FP16</t>
  </si>
  <si>
    <t>FP17</t>
  </si>
  <si>
    <t>FP18</t>
  </si>
  <si>
    <t>FP19</t>
  </si>
  <si>
    <t>FP20</t>
  </si>
  <si>
    <t>FP21</t>
  </si>
  <si>
    <t>FP22</t>
  </si>
  <si>
    <t>FP23</t>
  </si>
  <si>
    <t>FP24</t>
  </si>
  <si>
    <t>FP25</t>
  </si>
  <si>
    <t>FP26</t>
  </si>
  <si>
    <t>FP27</t>
  </si>
  <si>
    <t>FP28</t>
  </si>
  <si>
    <t>FP29</t>
  </si>
  <si>
    <t>FP30</t>
  </si>
  <si>
    <t>FP31</t>
  </si>
  <si>
    <t>FP32</t>
  </si>
  <si>
    <t>FP33</t>
  </si>
  <si>
    <t>FP34</t>
  </si>
  <si>
    <t>FP35</t>
  </si>
  <si>
    <t>FP36</t>
  </si>
  <si>
    <t>FP37</t>
  </si>
  <si>
    <t>FP38</t>
  </si>
  <si>
    <t>FP39</t>
  </si>
  <si>
    <t>FP40</t>
  </si>
  <si>
    <t>FP41</t>
  </si>
  <si>
    <t>FP42</t>
  </si>
  <si>
    <t>Plánovanie zberu údajov (interná služba)</t>
  </si>
  <si>
    <t>FP43</t>
  </si>
  <si>
    <t>FP44</t>
  </si>
  <si>
    <t>FP45</t>
  </si>
  <si>
    <t>FP46</t>
  </si>
  <si>
    <t>FP47</t>
  </si>
  <si>
    <t>FP48</t>
  </si>
  <si>
    <t>FP49</t>
  </si>
  <si>
    <t>FP50</t>
  </si>
  <si>
    <t>FP51</t>
  </si>
  <si>
    <t>FP52</t>
  </si>
  <si>
    <t>FP53</t>
  </si>
  <si>
    <t>FP54</t>
  </si>
  <si>
    <t>FP55</t>
  </si>
  <si>
    <t>FP56</t>
  </si>
  <si>
    <t>FP57</t>
  </si>
  <si>
    <t>FP58</t>
  </si>
  <si>
    <t>FP59</t>
  </si>
  <si>
    <t>FP60</t>
  </si>
  <si>
    <t>FP61</t>
  </si>
  <si>
    <t>FP62</t>
  </si>
  <si>
    <t>FP63</t>
  </si>
  <si>
    <t>FP64</t>
  </si>
  <si>
    <t>FP65</t>
  </si>
  <si>
    <t>FP66</t>
  </si>
  <si>
    <t>FP67</t>
  </si>
  <si>
    <t>FP68</t>
  </si>
  <si>
    <t>FP69</t>
  </si>
  <si>
    <t>FP70</t>
  </si>
  <si>
    <t>FP71</t>
  </si>
  <si>
    <t>FP72</t>
  </si>
  <si>
    <t>FP73</t>
  </si>
  <si>
    <t>FP74</t>
  </si>
  <si>
    <t>FP75</t>
  </si>
  <si>
    <t>FP76</t>
  </si>
  <si>
    <t>FP77</t>
  </si>
  <si>
    <t>FP78</t>
  </si>
  <si>
    <t>FP79</t>
  </si>
  <si>
    <t>FP80</t>
  </si>
  <si>
    <t>FP81</t>
  </si>
  <si>
    <t>FP82</t>
  </si>
  <si>
    <t>FP83</t>
  </si>
  <si>
    <t>FP84</t>
  </si>
  <si>
    <t>FP85</t>
  </si>
  <si>
    <t>FP86</t>
  </si>
  <si>
    <t>FP87</t>
  </si>
  <si>
    <t>FP88</t>
  </si>
  <si>
    <t>FP89</t>
  </si>
  <si>
    <t>FP90</t>
  </si>
  <si>
    <t>FP91</t>
  </si>
  <si>
    <t>FP92</t>
  </si>
  <si>
    <t>FP93</t>
  </si>
  <si>
    <t>FP94</t>
  </si>
  <si>
    <t>FP95</t>
  </si>
  <si>
    <t>FP96</t>
  </si>
  <si>
    <t>FP97</t>
  </si>
  <si>
    <t>FP98</t>
  </si>
  <si>
    <t>FP99</t>
  </si>
  <si>
    <t>FP100</t>
  </si>
  <si>
    <t>Distribučné služby – poskytovanie údajov</t>
  </si>
  <si>
    <t>Sprístupnenie katalógu výberu datasetov na stiahnutie</t>
  </si>
  <si>
    <t>Systém musí poskytnúť používateľovi katalóg datasetov dostupných na stiahnutie (DMR, DMP, ortofoto, LLS). Používateľ musí vedieť vybrať dataset podľa typu a základných filtrov.</t>
  </si>
  <si>
    <t>Výber územia pre stiahnutie</t>
  </si>
  <si>
    <t>Systém musí umožniť definovať územie stiahnutia cez administratívne jednotky alebo vlastný polygon. Systém musí pri výbere zobraziť odhad rozsahu a veľkosti výsledného balíka.</t>
  </si>
  <si>
    <t>Distribúcia DMR podľa územia</t>
  </si>
  <si>
    <t>Systém musí umožniť stiahnuť DMR pre zvolený výrez. Pred stiahnutím musí používateľ vidieť aktuálnosť a základné parametre datasetu.</t>
  </si>
  <si>
    <t>Distribúcia DMP podľa územia</t>
  </si>
  <si>
    <t>Systém musí umožniť stiahnuť DMP pre zvolený výrez. Systém musí zobraziť, či ide o aktuálnu alebo historickú verziu (ak je dostupná).</t>
  </si>
  <si>
    <t>Distribúcia ortofotomozaík podľa územia</t>
  </si>
  <si>
    <t>Systém musí umožniť stiahnuť ortofotomozaiku pre vybrané územie. Používateľ musí vidieť parametre ako dátum snímkovania a rozlíšenie.</t>
  </si>
  <si>
    <t>Distribúcia mračien bodov (LLS) podľa územia</t>
  </si>
  <si>
    <t>Systém musí umožniť stiahnuť LLS mračno bodov pre zvolený výrez. Pri veľkých dátach musí systém umožniť generovanie výstupu ako balíka s jednoznačným označením rozsahu.</t>
  </si>
  <si>
    <t>Voľba úrovne detailu pri sťahovaní</t>
  </si>
  <si>
    <t>Systém musí umožniť zvoliť „základný“ alebo „podrobný“ výstup, ak to dataset podporuje. Systém musí vysvetliť rozdiel (napr. rozlíšenie, generalizácia, veľkosť).</t>
  </si>
  <si>
    <t>Náhľad pokrytia datasetu pred stiahnutím</t>
  </si>
  <si>
    <t>Systém musí zobraziť mapový náhľad pokrytia datasetu, aby používateľ vedel, čo je dostupné. Náhľad musí byť previazaný s výrezom, ktorý používateľ kreslí alebo vyberá.</t>
  </si>
  <si>
    <t>Zobrazenie metadát datasetu pred stiahnutím</t>
  </si>
  <si>
    <t>Systém musí pred stiahnutím zobraziť metadáta (zdroj, dátum, presnosť, formát, referenčný systém). Používateľ musí mať možnosť metadáta uložiť alebo stiahnuť ako sprievodný dokument.</t>
  </si>
  <si>
    <t>Označenie datasetu ako „otvorené údaje“</t>
  </si>
  <si>
    <t>Systém musí umožniť používateľovi zvoliť režim otvorených údajov pri datasetoch, ktoré to podporujú. Systém musí jasne komunikovať, že stiahnutie je bezodplatné a viazané na licenčné podmienky.</t>
  </si>
  <si>
    <t>Akceptácia licencie pred stiahnutím otvorených údajov</t>
  </si>
  <si>
    <t>Systém musí vyžadovať explicitné akceptovanie licencie pred stiahnutím otvorených údajov. Akceptácia sa musí zaznamenať s časom a identitou používateľa.</t>
  </si>
  <si>
    <t>Generovanie sprievodného listu k stiahnutým údajom</t>
  </si>
  <si>
    <t>Systém musí ku každému stiahnutiu priložiť sprievodný list s licenčnými podmienkami a povinnosťou uviesť ÚGKK SR ako držiteľa práv. Sprievodný list musí obsahovať identifikáciu datasetu, verzie a rozsahu výrezu.</t>
  </si>
  <si>
    <t>Stiahnutie na lokálny disk používateľa</t>
  </si>
  <si>
    <t>Systém musí umožniť uložiť výstupný balík na lokálny disk používateľa cez štandardný mechanizmus prehliadača. Pri veľkých dátach musí systém poskytnúť stabilný odkaz na stiahnutie.</t>
  </si>
  <si>
    <t>Opakované stiahnutie rovnakého balíka</t>
  </si>
  <si>
    <t>Systém musí umožniť používateľovi opätovne stiahnuť už raz vygenerovaný balík, ak je stále dostupný. Systém musí zároveň upozorniť, ak sa medzičasom zmenila verzia datasetu.</t>
  </si>
  <si>
    <t>Evidencia histórie stiahnutí používateľa</t>
  </si>
  <si>
    <t>Systém musí viesť históriu stiahnutí pre prihláseného používateľa vrátane datasetu, rozsahu a času. Používateľ musí vedieť históriu filtrovať a vyhľadať konkrétny záznam.</t>
  </si>
  <si>
    <t>Zobrazenie podmienky atribúcie pri exporte</t>
  </si>
  <si>
    <t>Systém musí pri každom exporte zobraziť krátke upozornenie na povinnosť atribúcie ÚGKK SR. Upozornenie musí byť súčasťou sprievodného listu aj používateľského rozhrania.</t>
  </si>
  <si>
    <t>Bezodplatný prístup pre oprávnené inštitúcie</t>
  </si>
  <si>
    <t>Systém musí podporiť režim bezodplatného poskytovania údajov pre inštitúcie využívajúce referenčné údaje. Systém musí umožniť správcovi evidovať a overiť organizáciu používateľa.</t>
  </si>
  <si>
    <t>Registrácia a prihlásenie používateľa</t>
  </si>
  <si>
    <t>Systém musí umožniť registráciu a prihlásenie pre používateľov, ktorí potrebujú rozšírené funkcie (napr. OVM). Systém musí podporovať bezpečné prihlásenie a správu účtu.</t>
  </si>
  <si>
    <t>Rolový model používateľov</t>
  </si>
  <si>
    <t>Systém musí rozlišovať roly a to minimálne: občan, podnikateľ, orgán verejnej moci, pracovník ÚGKK SR a organizácií v pôsobnosti. Každá rola musí mať definovaný rozsah oprávnení.</t>
  </si>
  <si>
    <t>Správa organizácií a príslušnosti používateľov</t>
  </si>
  <si>
    <t>Systém musí umožniť priradiť používateľa k organizácii (napr. ministerstvo, obec, VÚC, univerzita). Príslušnosť musí ovplyvňovať prístup k funkciám a prehľadom.</t>
  </si>
  <si>
    <t>Audit stiahnutí a licenčných akceptácií</t>
  </si>
  <si>
    <t>Systém musí zaznamenávať auditné záznamy o stiahnutiach a akceptáciách licencie. Audit musí byť exportovateľný pre interné kontroly.</t>
  </si>
  <si>
    <t>Limitácia a ochrana pred zneužitím sťahovania</t>
  </si>
  <si>
    <t>Systém musí umožniť konfigurovať limity (napr. počet požiadaviek/objem) na ochranu pred zneužitím. Pri prekročení limitov musí systém používateľa informovať a ponúknuť postup riešenia.</t>
  </si>
  <si>
    <t>Prehliadanie údajov (koncová služba) – základ</t>
  </si>
  <si>
    <t>Webová služba prehliadania údajov</t>
  </si>
  <si>
    <t>Systém musí poskytovať webové rozhranie pre prehliadanie údajov bez potreby špecializovaného softvéru. Rozhranie musí byť optimalizované pre bežné zariadenia a internetové pripojenie.</t>
  </si>
  <si>
    <t>Zjednodušené zobrazenie optimalizované pre web</t>
  </si>
  <si>
    <t>Systém musí zobrazovať údaje v zjednodušenej forme vhodnej pre online prehliadanie. Používateľ musí mať plynulý pohyb v mape/3D scéne bez nadmerného čakania.</t>
  </si>
  <si>
    <t>Prepínanie základných vrstiev v prehliadaní</t>
  </si>
  <si>
    <t>Systém musí umožniť zapnúť/vypnúť základné vrstvy (ortofoto, DMR/DMP náhľad, LLS náhľad). Zmena vrstiev musí byť okamžite viditeľná.</t>
  </si>
  <si>
    <t>Vyhľadávanie lokality v prehliadači</t>
  </si>
  <si>
    <t>Systém musí umožniť vyhľadanie miesta podľa adresy alebo názvu lokality. Po vyhľadaní musí systém priblížiť mapu na nájdenú polohu.</t>
  </si>
  <si>
    <t>Zobrazenie informácií o objekte po kliknutí</t>
  </si>
  <si>
    <t>Systém musí po výbere objektu zobraziť základné informácie (typ vrstvy, identifikátor, dátový zdroj, verzia). Informácie musia byť zrozumiteľné aj pre neodborného používateľa.</t>
  </si>
  <si>
    <t>Zobrazenie aktuálnosti a verzie vrstvy v prehliadaní</t>
  </si>
  <si>
    <t>Systém musí pri každej vrstve zobraziť dátum poslednej aktualizácie a verziu. Používateľ musí vedieť rýchlo zistiť, či pracuje s aktuálnymi údajmi.</t>
  </si>
  <si>
    <t>Základné merania v prehliadaní</t>
  </si>
  <si>
    <t>Systém musí poskytnúť základné merania vzdialenosti a plochy v prehliadači. Výsledok merania musí byť zobrazený s jednotkami a možnosťou vymazať meracie prvky.</t>
  </si>
  <si>
    <t>Zobrazenie výšky bodu z DMR/DMP</t>
  </si>
  <si>
    <t>Systém musí umožniť kliknutím zobraziť výšku bodu odvodenú z DMR/DMP. Používateľ musí vidieť jednotky a informáciu o zdroji výšky.</t>
  </si>
  <si>
    <t>Služba požiadaviek na 3D mapovanie (koncová služba)</t>
  </si>
  <si>
    <t>Vytvorenie požiadavky na 3D mapovanie</t>
  </si>
  <si>
    <t>Systém musí umožniť OVM a samospráve vytvoriť požiadavku na zameranie alebo aktualizáciu územia. Požiadavka musí byť uložená a identifikovaná unikátnym číslom.</t>
  </si>
  <si>
    <t>Definovanie územia požiadavky</t>
  </si>
  <si>
    <t>Používateľ musí vedieť definovať územie požiadavky výberom alebo kreslením polygónu. Systém musí overiť, že územie je v rámci SR a nie je prázdne.</t>
  </si>
  <si>
    <t>Výber typu požiadavky (zameranie/aktualizácia)</t>
  </si>
  <si>
    <t>Systém musí umožniť zvoliť, či ide o nové zameranie alebo aktualizáciu. Vo formulári musí systém prispôsobiť povinné polia podľa typu požiadavky.</t>
  </si>
  <si>
    <t>Povinné odôvodnenie požiadavky</t>
  </si>
  <si>
    <t>Systém musí vyžadovať textové odôvodnenie, prečo je požiadavka potrebná. Bez odôvodnenia nesmie byť požiadavka odoslaná.</t>
  </si>
  <si>
    <t>Hospodársky a spoločenský význam požiadavky</t>
  </si>
  <si>
    <t>Systém musí umožniť opísať hospodársky a spoločenský význam požiadavky. Používateľ musí uviesť aspoň jednu oblasť využitia (napr. územné plánovanie, výstavba, krízové riadenie).</t>
  </si>
  <si>
    <t>Odhad návratnosti (voliteľný)</t>
  </si>
  <si>
    <t>Systém musí umožniť doplniť odhad ekonomickej návratnosti vrátane predpokladov. Systém musí označiť, že ide o nezáväzný údaj poskytovaný žiadateľom.</t>
  </si>
  <si>
    <t>Prílohy k požiadavke</t>
  </si>
  <si>
    <t>Systém musí umožniť priložiť dokumenty alebo odkazy, ktoré podporujú odôvodnenie požiadavky. Prílohy musia byť uložené a viazané na konkrétnu požiadavku.</t>
  </si>
  <si>
    <t>Stavový workflow požiadaviek</t>
  </si>
  <si>
    <t>Systém musí viesť stav požiadavky minimálne: nová, posudzovaná, odporúčaná, zamietnutá, realizovaná. Každá zmena stavu musí byť auditovaná (kto, kedy, poznámka).</t>
  </si>
  <si>
    <t>Nezáväzný charakter požiadaviek</t>
  </si>
  <si>
    <t>Systém musí pri každej požiadavke zobrazovať, že má odporúčací a nezáväzný charakter. Toto vyhlásenie musí byť súčasťou formulára aj detailu požiadavky.</t>
  </si>
  <si>
    <t>Komunikácia k požiadavke (komentáre)</t>
  </si>
  <si>
    <t>Systém musí umožniť komunikáciu medzi žiadateľom a ÚGKK SR formou komentárov. Komentáre musia byť časovo zoradené a dohľadateľné.</t>
  </si>
  <si>
    <t>Vyhľadávanie a filtrovanie požiadaviek</t>
  </si>
  <si>
    <t>Systém musí umožniť vyhľadávať požiadavky podľa územia, organizácie, stavu a dátumu. Výsledky musia byť exportovateľné pre interné spracovanie.</t>
  </si>
  <si>
    <t>Notifikácie o zmene stavu požiadavky</t>
  </si>
  <si>
    <t>Systém musí odoslať notifikáciu žiadateľovi pri zmene stavu alebo pri požiadavke na doplnenie informácií. Notifikácia musí obsahovať odkaz na detail požiadavky.</t>
  </si>
  <si>
    <t>FP101</t>
  </si>
  <si>
    <t>FP102</t>
  </si>
  <si>
    <t>FP103</t>
  </si>
  <si>
    <t>FP104</t>
  </si>
  <si>
    <t>FP105</t>
  </si>
  <si>
    <t>FP106</t>
  </si>
  <si>
    <t>FP107</t>
  </si>
  <si>
    <t>FP108</t>
  </si>
  <si>
    <t>FP109</t>
  </si>
  <si>
    <t>FP110</t>
  </si>
  <si>
    <t>FP111</t>
  </si>
  <si>
    <t>FP112</t>
  </si>
  <si>
    <t>FP113</t>
  </si>
  <si>
    <t>FP114</t>
  </si>
  <si>
    <t>FP115</t>
  </si>
  <si>
    <t>FP116</t>
  </si>
  <si>
    <t>FP117</t>
  </si>
  <si>
    <t>FP118</t>
  </si>
  <si>
    <t>FP119</t>
  </si>
  <si>
    <t>FP120</t>
  </si>
  <si>
    <t>FP121</t>
  </si>
  <si>
    <t>FP122</t>
  </si>
  <si>
    <t>FP123</t>
  </si>
  <si>
    <t>FP124</t>
  </si>
  <si>
    <t>FP125</t>
  </si>
  <si>
    <t>FP126</t>
  </si>
  <si>
    <t>FP127</t>
  </si>
  <si>
    <t>FP128</t>
  </si>
  <si>
    <t>FP129</t>
  </si>
  <si>
    <t>FP130</t>
  </si>
  <si>
    <t>FP131</t>
  </si>
  <si>
    <t>FP132</t>
  </si>
  <si>
    <t>FP133</t>
  </si>
  <si>
    <t>FP134</t>
  </si>
  <si>
    <t>FP135</t>
  </si>
  <si>
    <t>FP136</t>
  </si>
  <si>
    <t>FP137</t>
  </si>
  <si>
    <t>FP138</t>
  </si>
  <si>
    <t>FP139</t>
  </si>
  <si>
    <t>FP140</t>
  </si>
  <si>
    <t>FP141</t>
  </si>
  <si>
    <t>FP142</t>
  </si>
  <si>
    <t>FP143</t>
  </si>
  <si>
    <t>FP144</t>
  </si>
  <si>
    <t>FP145</t>
  </si>
  <si>
    <t>FP146</t>
  </si>
  <si>
    <t>FP147</t>
  </si>
  <si>
    <t>FP148</t>
  </si>
  <si>
    <t>FP149</t>
  </si>
  <si>
    <t>FP150</t>
  </si>
  <si>
    <t>FP151</t>
  </si>
  <si>
    <t>FP152</t>
  </si>
  <si>
    <t>FP153</t>
  </si>
  <si>
    <t>FP154</t>
  </si>
  <si>
    <t>FP155</t>
  </si>
  <si>
    <t>FP156</t>
  </si>
  <si>
    <t>FP157</t>
  </si>
  <si>
    <t>FP158</t>
  </si>
  <si>
    <t>FP159</t>
  </si>
  <si>
    <t>FP160</t>
  </si>
  <si>
    <t>FP161</t>
  </si>
  <si>
    <t>FP162</t>
  </si>
  <si>
    <t>FP163</t>
  </si>
  <si>
    <t>FP164</t>
  </si>
  <si>
    <t>FP165</t>
  </si>
  <si>
    <t>FP166</t>
  </si>
  <si>
    <t>FP167</t>
  </si>
  <si>
    <t>FP168</t>
  </si>
  <si>
    <t>FP169</t>
  </si>
  <si>
    <t>Interné služby – automatizovaná správa údajov (základ)</t>
  </si>
  <si>
    <t>Interný katalóg datasetov</t>
  </si>
  <si>
    <t>Systém musí poskytovať interný katalóg datasetov s evidenciou typov, verzií a pokrytia. Katalóg musí byť základom pre publikovanie do distribučných služieb.</t>
  </si>
  <si>
    <t>Povinné metadáta pri registrácii datasetu</t>
  </si>
  <si>
    <t>Systém musí vyžadovať minimálnu sadu metadát pri registrácii datasetu (názov, typ, verzia, dátum, územie, formát). Bez povinných metadát nesmie byť dataset označený ako publikovateľný.</t>
  </si>
  <si>
    <t>Automatické doplnenie technických metadát</t>
  </si>
  <si>
    <t>Systém musí po nahratí datasetu automaticky doplniť technické metadáta (veľkosť, počet súborov, kontrolný súčet). Tieto údaje musia byť zobrazené správcovi a použité pri kontrole konzistencie.</t>
  </si>
  <si>
    <t>Publikovanie datasetu do služby poskytovania údajov</t>
  </si>
  <si>
    <t>Správca musí vedieť publikovať dataset do koncovej služby poskytovania údajov. Systém musí overiť, že dataset má platnú licenciu a metadáta.</t>
  </si>
  <si>
    <t>Odobratý dataset z publikovania (depublikovanie)</t>
  </si>
  <si>
    <t>Správca musí vedieť dataset dočasne alebo trvalo odobrať z publikovania. Systém musí zachovať informáciu o dôvode a čase depublikovania.</t>
  </si>
  <si>
    <t>Evidencia verzií datasetov</t>
  </si>
  <si>
    <t>Systém musí podporovať verziovanie datasetov tak, aby bolo možné identifikovať aktuálnu aj historickú verziu. Používateľ aj správca musia vidieť, ktorá verzia je publikovaná.</t>
  </si>
  <si>
    <t>Vyhľadávanie datasetov podľa územia a typu</t>
  </si>
  <si>
    <t>Systém musí umožniť rýchle vyhľadávanie datasetov podľa územia a typu údajov. Výsledok musí zobraziť aj dostupné verzie a stav publikovania.</t>
  </si>
  <si>
    <t>Vyhľadávanie v LiDAR súboroch podľa pokrytia</t>
  </si>
  <si>
    <t>Systém musí umožniť vyhľadať LiDAR súbory podľa pokrytia územia a obdobia zberu. Výstup vyhľadávania musí jednoznačne identifikovať, čo je možné poskytnúť používateľovi.</t>
  </si>
  <si>
    <t>Evidencia licenčných textov a verzií</t>
  </si>
  <si>
    <t>Systém musí umožniť správcovi spravovať licenčné texty a ich verzie. Pri každom stiahnutí musí byť uložené, ktorá verzia licencie bola akceptovaná.</t>
  </si>
  <si>
    <t>Prevádzkové logy distribučnej služby</t>
  </si>
  <si>
    <t>Export logov a prehľadov</t>
  </si>
  <si>
    <t>Konfigurovateľné typy datasetov v katalógu</t>
  </si>
  <si>
    <t>Notifikácie interným správcom o publikovaní a zmenách</t>
  </si>
  <si>
    <t>Základná kontrola konzistencie metadát</t>
  </si>
  <si>
    <t>Evidencia dostupných formátov pre dataset</t>
  </si>
  <si>
    <t>Základný „status“ monitoring generovania balíka</t>
  </si>
  <si>
    <t>Správa šablón sprievodných dokumentov</t>
  </si>
  <si>
    <t>Distribúcia 3D vektorových údajov LOD2.x</t>
  </si>
  <si>
    <t>Voľba výstupného formátu pre LOD2.x</t>
  </si>
  <si>
    <t>Stiahnutie LOD2.x po vrstvách/tematických celkoch</t>
  </si>
  <si>
    <t>Výber kvalitatívnej úrovne LOD2.x (ak existuje)</t>
  </si>
  <si>
    <t>Prepojenie stiahnutia LOD2.x so sprievodnými metadátami</t>
  </si>
  <si>
    <t>3D vizualizácia budov v prehliadači</t>
  </si>
  <si>
    <t>Prepínanie 2D/3D režimu zobrazenia</t>
  </si>
  <si>
    <t>Identifikácia budovy a zobrazenie atribútov</t>
  </si>
  <si>
    <t>Základné merania v 3D scéne</t>
  </si>
  <si>
    <t>Rezy objektmi (section) v prehliadaní</t>
  </si>
  <si>
    <t>Výškový profil po trase</t>
  </si>
  <si>
    <t>Analýza sklonu a orientácie terénu</t>
  </si>
  <si>
    <t>Analýza sklonu a plôch striech</t>
  </si>
  <si>
    <t>Analýza viditeľnosti (viewshed)</t>
  </si>
  <si>
    <t>Analýza osvetlenia pre zvolený čas</t>
  </si>
  <si>
    <t>Odhad solárneho potenciálu (základ)</t>
  </si>
  <si>
    <t>Online editor 3D údajov pre autorizované roly</t>
  </si>
  <si>
    <t>Podklady LLS/LMS v editore</t>
  </si>
  <si>
    <t>Vkladanie geodetických meraní ako podklad</t>
  </si>
  <si>
    <t>Priebežné ukladanie (draft) v editore</t>
  </si>
  <si>
    <t>Návrat k rozpracovaným úlohám</t>
  </si>
  <si>
    <t>Rozlíšenie autorizovanej a neautorizovanej tvorby</t>
  </si>
  <si>
    <t>Export neautorizovaných výstupov na lokálny disk</t>
  </si>
  <si>
    <t>Import z certifikovaných aplikácií (moduly)</t>
  </si>
  <si>
    <t>Evidencia zdroja tvorby (online/import/meranie)</t>
  </si>
  <si>
    <t>Tvorba údajov pre ľubovoľné územie SR</t>
  </si>
  <si>
    <t>Odoslanie do validačného workflow</t>
  </si>
  <si>
    <t>Workflow: prijatie–kontrola–schválenie–publikovanie</t>
  </si>
  <si>
    <t>Vrátenie na doplnenie s povinným dôvodom</t>
  </si>
  <si>
    <t>Zamietnutie datasetu s odôvodnením</t>
  </si>
  <si>
    <t>Schválenie datasetu a zápis do centrálnej databázy</t>
  </si>
  <si>
    <t>Audit trail na úrovni objektu</t>
  </si>
  <si>
    <t>Konfliktové hlásenia pri kolízii zmien</t>
  </si>
  <si>
    <t>Priradenie validačnej úlohy konkrétnemu pracovníkovi</t>
  </si>
  <si>
    <t>Protokol validácie (výsledok kontrol)</t>
  </si>
  <si>
    <t>Služba podpory stavebného konania (web)</t>
  </si>
  <si>
    <t>Služba podpory stavebného konania (API)</t>
  </si>
  <si>
    <t>Vyhľadanie podľa adresy/parcely/identifikátora</t>
  </si>
  <si>
    <t>Export podkladov pre DOK z definovaného územia</t>
  </si>
  <si>
    <t>Evidencia žiadostí o výstupy pre DOK</t>
  </si>
  <si>
    <t>Potvrdenie o použitých verziách dát pre DOK</t>
  </si>
  <si>
    <t>Vklad porealizačného zamerania do 3D údajov</t>
  </si>
  <si>
    <t>Autorizačné overenie porealizačných údajov</t>
  </si>
  <si>
    <t>Validácia porealizačných údajov správcom databázy</t>
  </si>
  <si>
    <t>Vklad porealizačných údajov cez webové rozhranie</t>
  </si>
  <si>
    <t>Vklad porealizačných údajov cez API</t>
  </si>
  <si>
    <t>Automatická aktualizácia publikovaných vrstiev po schválení</t>
  </si>
  <si>
    <t>Automatické generovanie metadát pre LOD2.x</t>
  </si>
  <si>
    <t>Evidencia pokrytia LOD2.x na úrovni územia</t>
  </si>
  <si>
    <t>Prepojenie publikovania s validačným výsledkom</t>
  </si>
  <si>
    <t>Zobrazenie stavu „v príprave“ pre nové dáta</t>
  </si>
  <si>
    <t>Záznam o pôvode dát (LLS/LMS/meranie) v katalógu</t>
  </si>
  <si>
    <t>Základný reporting o využívaní datasetov</t>
  </si>
  <si>
    <t>Správa výnimiek a incidentov pri generovaní balíkov</t>
  </si>
  <si>
    <t>Notifikácie interným rolám o validačných udalostiach</t>
  </si>
  <si>
    <t>Prihlasovanie autorizovaných geodetov</t>
  </si>
  <si>
    <t>Oddelenie dát verejnosti od referenčnej databázy</t>
  </si>
  <si>
    <t>Správa oprávnení pre API používanie</t>
  </si>
  <si>
    <t>Evidencia súhlasu s licenciou aj pre API</t>
  </si>
  <si>
    <t>Zobrazenie licenčných podmienok v prehliadacej službe</t>
  </si>
  <si>
    <t>Kontrola povinných atribútov pri odovzdaní</t>
  </si>
  <si>
    <t>Základná topologická kontrola pri odovzdaní</t>
  </si>
  <si>
    <t>Zobrazenie rozdielov medzi verziami datasetu (základ)</t>
  </si>
  <si>
    <t>Zachovanie historických verzií pre audit</t>
  </si>
  <si>
    <t>Prepojenie požiadaviek 3D mapovania s pokrytím LOD2.x</t>
  </si>
  <si>
    <t>Dávkové (batch) generovanie balíkov pre OVM</t>
  </si>
  <si>
    <t>Plánované opakované exporty (scheduled exports)</t>
  </si>
  <si>
    <t>Balíky údajov (bundle) pre rovnaké územie</t>
  </si>
  <si>
    <t>API pre objednanie výrezu a získanie odkazu na stiahnutie</t>
  </si>
  <si>
    <t>Notifikácie na aktualizácie v záujmovom území</t>
  </si>
  <si>
    <t>Samoobslužná správa „obľúbených výrezov“</t>
  </si>
  <si>
    <t>Konfigurovateľné pravidlá publikovania po validácii</t>
  </si>
  <si>
    <t>Distribučné API pre metadáta datasetov</t>
  </si>
  <si>
    <t>Pokročilý solárny potenciál so zatienením</t>
  </si>
  <si>
    <t>Analýza členitosti striech (segmentácia)</t>
  </si>
  <si>
    <t>Export výsledkov analýz do dátového formátu</t>
  </si>
  <si>
    <t>Ukladanie a zdieľanie analytických scenárov</t>
  </si>
  <si>
    <t>Kombinované rezy terén + budovy s uložením výsledku</t>
  </si>
  <si>
    <t>Rozšírené merania: objem/kapacita (ak podporované)</t>
  </si>
  <si>
    <t>Hromadný import (bulk import) autorizovaných datasetov</t>
  </si>
  <si>
    <t>Automatizované validačné pravidlá (konfigurovateľné)</t>
  </si>
  <si>
    <t>Pokročilé topologické a obsahové kontroly</t>
  </si>
  <si>
    <t>Priraďovanie validačných úloh (task management)</t>
  </si>
  <si>
    <t>Paralelné spracovanie validačných front</t>
  </si>
  <si>
    <t>Porovnanie verzií objektu (pred/po) s vizualizáciou</t>
  </si>
  <si>
    <t>Evidencia reklamácií a opráv údajov s workflow</t>
  </si>
  <si>
    <t>Opakované odovzdanie po oprave s prepojením na pôvodný prípad</t>
  </si>
  <si>
    <t>API proces pre DOK s identifikáciou verzie dát</t>
  </si>
  <si>
    <t>Potvrdenie (token/protokol) o vytvorení výstupu pre DOK</t>
  </si>
  <si>
    <t>Integrácia DOK do externých systémov tretích strán</t>
  </si>
  <si>
    <t>Evidencia využitia služby DOK podľa organizácie</t>
  </si>
  <si>
    <t>Automatická aktualizácia metadát pri publikovaní verzie</t>
  </si>
  <si>
    <t>Indexácia a vyhľadávanie v klasifikovaných mračnách bodov</t>
  </si>
  <si>
    <t>Pravidlá archivácie historických verzií (retencia)</t>
  </si>
  <si>
    <t>Depozit historických verzií pre právne a auditné účely</t>
  </si>
  <si>
    <t>Automatické generovanie „changelog“ pri publikovaní</t>
  </si>
  <si>
    <t>Monitoring dostupnosti koncových služieb (funkčne)</t>
  </si>
  <si>
    <t>Prevádzkové dashboardy pre manažment (využitie a výkon)</t>
  </si>
  <si>
    <t>Založenie plánu aktualizácie údajov</t>
  </si>
  <si>
    <t>Prioritizácia území podľa aktuálnosti a dopytu</t>
  </si>
  <si>
    <t>Prepojenie plánovaných zberov na požiadavky 3D mapovania</t>
  </si>
  <si>
    <t>Podpora prípravy letových plánov pre drony</t>
  </si>
  <si>
    <t>Evidencia nákladových parametrov plánovaného zberu</t>
  </si>
  <si>
    <t>Vyhodnotenie ekonomickej návratnosti (ROI) plánovaných aktivít</t>
  </si>
  <si>
    <t>Workflow schvaľovania plánov (návrh–pripomienky–schválenie)</t>
  </si>
  <si>
    <t>Export plánov a reportov zberu (XLSX/PDF)</t>
  </si>
  <si>
    <t>Export manažérskych prehľadov využívania a pokrytia</t>
  </si>
  <si>
    <t>Export prehľadov validačných procesov</t>
  </si>
  <si>
    <t>Export prehľadov plánovania zberu a realizácie</t>
  </si>
  <si>
    <t>Systém musí zaznamenávať logy o poskytovaní údajov (kto, čo, kedy, aký rozsah). Logy musia byť dostupné pre reporting a kontrolu.</t>
  </si>
  <si>
    <t>Systém musí umožniť export logov a základných prehľadov do bežných formátov. Export musí rešpektovať oprávnenia používateľa a ochranu údajov.</t>
  </si>
  <si>
    <t>Systém musí umožniť správcovi konfigurovať typy datasetov a ich vlastnosti (povinné metadáta, dostupné formáty). Tým sa zabezpečí rozšíriteľnosť bez zásahov do jadra systému.</t>
  </si>
  <si>
    <t>Systém musí informovať interných správcov pri publikovaní novej verzie alebo depublikovaní datasetu. Notifikácia musí obsahovať identifikáciu datasetu a dôvod zmeny.</t>
  </si>
  <si>
    <t>Systém musí overiť, že metadáta sú vyplnené konzistentne (napr. dátum, verzia, typ). Pri nesúlade musí systém upozorniť správcu a znemožniť publikovanie.</t>
  </si>
  <si>
    <t>Systém musí pri každom datasete evidovať, v akých formátoch je možné ho poskytovať. Používateľ musí pri exporte vidieť iba formáty dostupné pre daný dataset.</t>
  </si>
  <si>
    <t>Systém musí pri generovaní výstupného balíka zobraziť stav (pripravuje sa, hotové, chyba). Používateľ musí dostať informáciu o úspechu alebo dôvode zlyhania.</t>
  </si>
  <si>
    <t>Systém musí umožniť správcovi spravovať šablóny sprievodných listov a upozornení (atribúcia, licencia). Zmeny šablón musia byť verziované, aby bolo možné spätne preukázať, čo bolo komunikované.</t>
  </si>
  <si>
    <t>Systém musí umožniť stiahnuť 3D vektorové údaje budov v úrovni LOD2.x pre zvolený výrez. Používateľ musí vidieť informáciu o pokrytí a o tom, či je územie kompletne zmapované.</t>
  </si>
  <si>
    <t>Systém musí ponúknuť výber podporovaných formátov exportu pre LOD2.x. Pri výbere formátu musí systém upozorniť na možné obmedzenia (napr. atribúty, geometria).</t>
  </si>
  <si>
    <t>Používateľ musí vedieť zvoliť, či chce stiahnuť len budovy alebo aj ďalšie dostupné 3D objekty (ak sú súčasťou databázy). Systém musí jasne popísať obsah balíka pred generovaním.</t>
  </si>
  <si>
    <t>Systém musí umožniť vybrať, či používateľ chce základný alebo podrobnejší variant (napr. LOD2.1 vs. LOD2.2), ak sú k dispozícii. Systém musí zobraziť rozdiely a dopad na veľkosť balíka.</t>
  </si>
  <si>
    <t>Systém musí ku stiahnutým LOD2.x údajom priložiť metadáta vrátane informácie o zdroji (LLS/LMS/meranie). Používateľ musí vedieť preukázať pôvod a verziu dát.</t>
  </si>
  <si>
    <t>Systém musí umožniť prehliadať 3D budovy v internetovom prehliadači v optimalizovanej forme. Navigácia musí podporovať priblíženie, otáčanie a výber objektu.</t>
  </si>
  <si>
    <t>Používateľ musí vedieť prepínať medzi 2D mapou a 3D scénou. Systém musí zachovať rovnakú lokalitu a vrstvy pri prepnutí režimu.</t>
  </si>
  <si>
    <t>Po kliknutí na budovu musí systém zobraziť dostupné atribúty (identifikátor, výška, strešné plochy, verzia). Atribúty musia byť zrozumiteľné a použiteľné pre odbornú verejnosť.</t>
  </si>
  <si>
    <t>Systém musí umožniť meranie vzdialenosti, plochy a výšky aj v 3D režime. Výsledok musí byť možné uložiť alebo skopírovať.</t>
  </si>
  <si>
    <t>Systém musí umožniť vytvoriť rez budovou alebo územím s možnosťou posúvať reznú rovinu. Používateľ musí vidieť výsledok rezu v reálnom čase.</t>
  </si>
  <si>
    <t>Používateľ musí vedieť zadať trasu a vygenerovať výškový profil. Profil musí byť možné zobraziť a exportovať ako obrázok alebo dáta.</t>
  </si>
  <si>
    <t>Systém musí vedieť z DMR/DMP odvodiť sklon a orientáciu terénu pre vybrané územie. Výsledok musí byť zobrazený ako tematická vrstva.</t>
  </si>
  <si>
    <t>Systém musí vypočítať sklony a plochy strešných rovín budov z LOD2.x. Výsledky musia byť dostupné pre vybranú budovu a exportovateľné.</t>
  </si>
  <si>
    <t>Systém musí umožniť spustiť analýzu viditeľnosti zo zvoleného bodu pri nastaviteľnej výške pozorovateľa. Výsledok musí byť zobrazený v scéne a uložený ako vrstva.</t>
  </si>
  <si>
    <t>Systém musí umožniť analýzu osvetlenia pre zvolený dátum a čas. Používateľ musí dostať vizuálny výsledok a základné vysvetlenie parametrov.</t>
  </si>
  <si>
    <t>Systém musí umožniť odhad solárneho potenciálu na strechách na základe sklonu a orientácie. Výstup musí byť zobrazený aspoň kategorizovane (nízky/stredný/vysoký) alebo číselne.</t>
  </si>
  <si>
    <t>Systém musí poskytnúť online editor pre tvorbu a dopĺňanie 3D vektorových údajov pre ÚGKK SR a autorizovaných geodetov. Editor musí pracovať nad podkladmi LLS/LMS a umožniť uloženie rozpracovaného stavu.</t>
  </si>
  <si>
    <t>Editor musí umožniť zapnúť podklady mračien bodov a z nich odvodiť geometriu. Používateľ musí vedieť prepínať vrstvy a režimy zobrazenia podkladov.</t>
  </si>
  <si>
    <t>Systém musí umožniť použiť geodetické merania ako doplnkový podklad pri tvorbe 3D údajov. Musí byť možné priložiť meranie ako súbor alebo import cez modul.</t>
  </si>
  <si>
    <t>Používateľ musí vedieť ukladať rozpracovanú prácu priebežne bez odovzdania do validácie. Draft musí byť dostupný po opätovnom prihlásení.</t>
  </si>
  <si>
    <t>Systém musí viesť zoznam rozpracovaných úloh používateľa a umožniť návrat k nim. Pri návrate musí systém obnoviť posledný uložený stav.</t>
  </si>
  <si>
    <t>Systém musí rozlišovať režim tvorby pre autorizovaných používateľov a pre verejnosť. Neautorizovaná tvorba nesmie zapisovať do štátnej databázy.</t>
  </si>
  <si>
    <t>Verejnosť musí mať možnosť vytvorené 3D údaje exportovať na lokálny disk. Systém musí viditeľne označiť, že ide o nevalidované údaje mimo referenčného systému.</t>
  </si>
  <si>
    <t>Systém musí podporovať import 3D údajov z certifikovaných aplikácií cez importné moduly. Import musí vykonať základné kontroly formátu a štruktúry.</t>
  </si>
  <si>
    <t>Ku každému odovzdanému datasetu musí systém uložiť informáciu o zdroji tvorby. Táto informácia musí byť dostupná vo validácii a audite.</t>
  </si>
  <si>
    <t>Systém musí umožniť tvorbu 3D údajov pre ľubovoľné územie SR, nie len pre vybrané mestá. Pri tvorbe musí systém kontrolovať jednotný referenčný rámec.</t>
  </si>
  <si>
    <t>Autorizovaný používateľ musí vedieť odoslať vytvorený dataset do validácie jedným krokom. Systém musí skontrolovať minimálnu úplnosť a priložiť metadáta.</t>
  </si>
  <si>
    <t>Systém musí implementovať workflow validácie s jasnými krokmi a zodpovednosťami. Každý krok musí zanechať auditnú stopu.</t>
  </si>
  <si>
    <t>Správca databázy musí vedieť vrátiť dataset na doplnenie a uviesť dôvod a odporúčanie. Systém musí informovať autora a zachovať históriu.</t>
  </si>
  <si>
    <t>Správca musí vedieť dataset zamietnuť, ak nespĺňa požiadavky. Systém musí uložiť odôvodnenie a uzavrieť validačný proces.</t>
  </si>
  <si>
    <t>Po schválení musí systém zapísať údaje do centrálnej databázy a priradiť im verziu. Zápis musí byť transakčný, aby nevznikli čiastočné zápisy.</t>
  </si>
  <si>
    <t>Systém musí viesť audit zmien na úrovni jednotlivých objektov (kto, kedy, čo). Audit musí byť dohľadateľný aj spätne pre kontrolu.</t>
  </si>
  <si>
    <t>Systém musí detegovať konflikt, ak sa dva procesy pokúšajú meniť to isté územie/objekt. Používateľ musí dostať jasnú informáciu o konflikte a možných krokoch.</t>
  </si>
  <si>
    <t>Systém musí umožniť priradiť validačný prípad konkrétnemu pracovníkovi alebo tímu. Tým sa zabezpečí sledovanie zodpovednosti a postupu.</t>
  </si>
  <si>
    <t>Systém musí vygenerovať protokol validácie obsahujúci zistenia a rozhodnutie (schválené/vrátené/zamietnuté). Protokol musí byť uložený a exportovateľný.</t>
  </si>
  <si>
    <t>Systém musí poskytovať webovú službu pre odbornú verejnosť a stavebné úrady na využitie referenčných údajov pre DOK. Služba musí umožniť vyhľadanie územia a generovanie podkladov.</t>
  </si>
  <si>
    <t>Systém musí poskytovať aj nevizuálne rozhranie (API), aby si inštitúcie vedeli službu integrovať do vlastných systémov. API musí vracať aj informáciu o verzii použitých referenčných dát.</t>
  </si>
  <si>
    <t>Systém musí umožniť vyhľadať územie podľa adresy, parcely alebo interného identifikátora. Výsledok musí byť viazaný na dostupné referenčné vrstvy pre dané územie.</t>
  </si>
  <si>
    <t>Systém musí umožniť exportovať podklady pre DOK (napr. terén, orto, 3D budovy, výrezy). Export musí obsahovať metadáta a verzie datasetov.</t>
  </si>
  <si>
    <t>Systém musí evidovať každú žiadosť o výstup pre DOK (kto, kedy, územie, účel). Táto evidencia musí byť použiteľná pre audit a reporting.</t>
  </si>
  <si>
    <t>Systém musí priložiť potvrdenie, z akých verzií referenčných dát bol výstup vytvorený. Potvrdenie musí byť dohľadateľné aj po čase.</t>
  </si>
  <si>
    <t>Systém musí umožniť vložiť porealizačné zameranie nových budov do 3D vektorových údajov. Vklad musí podporovať priloženie sprievodnej dokumentácie.</t>
  </si>
  <si>
    <t>Porealizačné údaje musia podliehať autorizačnému overeniu. Systém musí evidovať identitu autorizujúceho subjektu a dátum overenia.</t>
  </si>
  <si>
    <t>Správca databázy musí mať možnosť porealizačné údaje schváliť, vrátiť alebo zamietnuť. Rozhodnutie musí byť zdokumentované a auditované.</t>
  </si>
  <si>
    <t>Systém musí poskytovať vizuálne rozhranie pre vklad porealizačných údajov. Rozhranie musí viesť používateľa krokmi a kontrolovať minimálnu úplnosť.</t>
  </si>
  <si>
    <t>Systém musí umožniť vklad porealizačných údajov aj cez API pre integráciu tretích strán. API musí podporovať prenos metadát a napojenie na validačný workflow.</t>
  </si>
  <si>
    <t>Po schválení porealizačných údajov musí systém aktualizovať publikované vrstvy a vytvoriť novú verziu datasetu. Používateľom musí byť zmena verzie transparentná.</t>
  </si>
  <si>
    <t>Systém musí vedieť automaticky doplniť technické metadáta pre LOD2.x exporty (veľkosť, rozsah, kontrolné súčty). Správca musí vedieť pridať vecné metadáta (zdroj, kvalita).</t>
  </si>
  <si>
    <t>Systém musí viesť prehľad pokrytia LOD2.x (kde je dostupné a v akej úplnosti). Tento prehľad musí byť dostupný pre plánovanie a pre používateľov pri sťahovaní.</t>
  </si>
  <si>
    <t>Systém musí umožniť publikovať len údaje, ktoré prešli validáciou. Publikovanie musí byť naviazané na rozhodnutie správcu databázy.</t>
  </si>
  <si>
    <t>Systém musí pri nových datasetoch zobrazovať stav „v príprave“ až do momentu publikovania. Používateľ nesmie mať možnosť stiahnuť nepublikované dáta.</t>
  </si>
  <si>
    <t>Katalóg musí ukladať informáciu o pôvode dát (LLS, LMS, meranie). Táto informácia musí byť viditeľná aj pri exporte a v sprievodných dokumentoch.</t>
  </si>
  <si>
    <t>Systém musí poskytnúť základné prehľady o tom, ktoré datasety sa sťahujú najviac a z akých území. Prehľady musia byť dostupné interným rolám.</t>
  </si>
  <si>
    <t>Systém musí evidovať chyby a incidenty pri generovaní balíkov na stiahnutie. Správca musí vedieť incident označiť ako vyriešený a doplniť poznámku.</t>
  </si>
  <si>
    <t>Systém musí informovať interné roly o nových validačných prípadoch, vráteniach a schváleniach. Notifikácie musia smerovať na zodpovedné osoby alebo tímy.</t>
  </si>
  <si>
    <t>Systém musí umožniť prístup autorizovaným geodetom do režimu autorizovanej tvorby. Správca musí vedieť evidovať a overiť ich oprávnenie.</t>
  </si>
  <si>
    <t>Systém musí technicky oddeliť neautorizované výstupy verejnosti od referenčnej databázy. Verejné výstupy musia byť exportovateľné, ale nesmú byť publikované ako referenčné.</t>
  </si>
  <si>
    <t>Systém musí umožniť prideľovať oprávnenia pre používanie API jednotlivým organizáciám alebo systémom. Každý API klient musí byť identifikovateľný a auditovaný.</t>
  </si>
  <si>
    <t>Ak sa údaje poskytujú cez API v režime otvorených údajov, systém musí evidovať aj tento súhlas/licenčný režim. Systém musí vedieť spätne preukázať podmienky poskytovania.</t>
  </si>
  <si>
    <t>Systém musí sprístupniť licenčné podmienky aj v prehliadacej službe, aby boli dostupné bez sťahovania. Používateľ musí vedieť, za akých podmienok môže dáta použiť.</t>
  </si>
  <si>
    <t>Systém musí pri odovzdaní autorizovaných údajov skontrolovať vyplnenie povinných atribútov. Pri nedostatkoch musí systém odovzdanie odmietnuť a uviesť dôvod.</t>
  </si>
  <si>
    <t>Systém musí spustiť základné topologické kontroly (napr. uzavretosť, neplatná geometria) pred validáciou. Výsledok musí byť zobrazený autorovi na opravu.</t>
  </si>
  <si>
    <t>Systém musí pri publikovaní novej verzie umožniť zobraziť stručný „changelog“ (čo sa zmenilo, aké územie). Používateľ musí vedieť identifikovať, či sa zmena týka jeho záujmového územia.</t>
  </si>
  <si>
    <t>Systém musí uchovať historické verzie datasetov tak, aby bolo možné preukázať stav k určitému dátumu. Prístup k historickým verziám musí byť riadený rolami.</t>
  </si>
  <si>
    <t>Systém musí umožniť vyhodnotiť, či požiadavka smeruje do územia už pokrytého LOD2.x alebo nie. Táto informácia musí pomôcť pri internom posudzovaní a plánovaní.</t>
  </si>
  <si>
    <t>Systém musí umožniť OVM pripraviť dávkové generovanie balíkov pre viac území alebo datasetov naraz. Používateľ musí vedieť sledovať stav dávky a získať výstupy po dokončení.</t>
  </si>
  <si>
    <t>Systém musí umožniť nastaviť opakované exporty pre rovnaké územie (napr. mesačne) pre oprávnené organizácie. Pri každom exporte musí byť evidovaná verzia použitých dát.</t>
  </si>
  <si>
    <t>Systém musí umožniť vytvoriť jeden balík obsahujúci DMR, DMP, orto, LLS a LOD2.x pre rovnaký výrez. Balík musí mať jednotnú identifikáciu a súhrnné metadáta.</t>
  </si>
  <si>
    <t>Systém musí poskytovať API, ktorým si tretí systém objedná výrez a dostane odkaz na stiahnutie. API musí vrátiť aj stav spracovania a identifikáciu verzie dát.</t>
  </si>
  <si>
    <t>Systém musí umožniť používateľovi nastaviť záujmové územie a dostať notifikáciu pri aktualizácii datasetov v tomto území. Notifikácia musí obsahovať typ datasetu, verziu a odkaz.</t>
  </si>
  <si>
    <t>Používateľ musí vedieť uložiť definovaný výrez ako „obľúbený“ a použiť ho pri ďalších exportoch. Systém musí umožniť správu obľúbených výrezov (pridať/odstrániť/premenovať).</t>
  </si>
  <si>
    <t>Správca musí vedieť nastaviť pravidlá, ktoré určia automatické publikovanie po schválení alebo manuálne schválenie. Pravidlá musia byť nastaviteľné podľa typu datasetu.</t>
  </si>
  <si>
    <t>Systém musí poskytovať API pre získanie metadát datasetov a ich verzií. Tým sa umožní integrácia katalógu do externých systémov.</t>
  </si>
  <si>
    <t>Systém musí rozšíriť výpočet solárneho potenciálu o zatienenie okolitými budovami a terénom. Používateľ musí vedieť nastaviť základné parametre a porovnať výsledky medzi strechami.</t>
  </si>
  <si>
    <t>Systém musí analyzovať členitosť striech a rozdeliť strechu na segmenty s vlastnými parametrami. Výsledky musia byť vizualizované aj exportovateľné.</t>
  </si>
  <si>
    <t>Systém musí umožniť exportovať výsledky analýz do CSV/JSON podľa typu analýzy. Export musí obsahovať aj parametre analýzy a čas spustenia.</t>
  </si>
  <si>
    <t>Používateľ musí vedieť uložiť analytický scenár (nastavenia, vrstvy, parametre) a opätovne ho spustiť. Pre OVM musí byť možné scenár zdieľať v rámci organizácie.</t>
  </si>
  <si>
    <t>Systém musí umožniť vytvoriť rez, ktorý zahŕňa terén aj budovy a uložiť ho ako výsledok. Uložený výsledok musí byť možné znovu otvoriť a exportovať.</t>
  </si>
  <si>
    <t>Systém musí umožniť vykonať rozšírené merania ako odhad objemu vybraného objektu alebo výrezu, ak to typ dát umožňuje. Používateľ musí dostať výsledok s upozornením na presnosť a predpoklady.</t>
  </si>
  <si>
    <t>Systém musí umožniť hromadný import väčšieho počtu datasetov od autorizovaných subjektov. Import musí automaticky rozdeliť dáta na validačné balíky a vygenerovať protokol.</t>
  </si>
  <si>
    <t>Systém musí podporovať konfigurovateľné validačné pravidlá pre formát, úplnosť a konzistenciu atribútov. Výsledok validácie musí byť prehľadný a použiteľný na opravu.</t>
  </si>
  <si>
    <t>Systém musí spúšťať pokročilé kontroly (napr. prekryvy, prieniky, neštandardné hodnoty atribútov). Zistenia musia byť mapované na konkrétne objekty pre jednoduchú opravu.</t>
  </si>
  <si>
    <t>Systém musí umožniť priradiť validačné úlohy konkrétnym pracovníkom a sledovať ich stav. Musí byť možné nastavovať priority a termíny.</t>
  </si>
  <si>
    <t>Systém musí umožniť paralelné spracovanie viacerých validačných prípadov bez kolízie zápisov. Pri konflikte musí systém uplatniť pravidlá priority alebo uzamknutia územia.</t>
  </si>
  <si>
    <t>Systém musí umožniť porovnať dve verzie objektu/datasetu a vizuálne zvýrazniť rozdiely. Porovnanie musí byť použiteľné pre kontrolu pri aktualizáciách aj porealizačných vkladoch.</t>
  </si>
  <si>
    <t>Systém musí umožniť evidovať reklamácie údajov a viesť ich stavové workflow (nová, v riešení, vyriešená, zamietnutá). Každá reklamácia musí byť naviazaná na objekt/dataset a mať audit.</t>
  </si>
  <si>
    <t>Po vrátení datasetu na doplnenie musí autor vedieť odovzdať opravenú verziu ako pokračovanie pôvodného prípadu. Systém musí zachovať prepojenie medzi iteráciami.</t>
  </si>
  <si>
    <t>Systém musí poskytovať API pre DOK, ktoré vždy vracia aj informáciu o verzii použitých referenčných dát. Tým sa zabezpečí auditovateľnosť výstupov.</t>
  </si>
  <si>
    <t>Systém musí generovať potvrdenie, že výstup bol vytvorený z konkrétnej verzie dát a s konkrétnymi parametrami. Potvrdenie musí byť dohľadateľné pre kontrolu a prípadné spory.</t>
  </si>
  <si>
    <t>Systém musí podporovať integračný režim, v ktorom externý systém odovzdá požiadavku a získa výstupy bez použitia UI. Integrácia musí mať definované odpovede pri chybách a nedostupnosti.</t>
  </si>
  <si>
    <t>Systém musí evidovať využitie služby DOK po organizáciách a typoch požiadaviek. Prehľady musia byť použiteľné pre plánovanie a reportovanie.</t>
  </si>
  <si>
    <t>Pri publikovaní novej verzie datasetu musí systém automaticky aktualizovať metadáta (verzia, dátum, rozsah, zmeny). Metadáta musia byť konzistentné v katalógu, UI aj API.</t>
  </si>
  <si>
    <t>Systém musí umožniť indexovať mračná bodov aj podľa klasifikačných tried (ak existujú). Vyhľadávanie musí umožniť filtrovať podľa triedy a územia.</t>
  </si>
  <si>
    <t>Správca musí vedieť definovať pravidlá archivácie a retencie historických verzií datasetov. Systém musí zabezpečiť dohľadateľnosť historických verzií pre audit.</t>
  </si>
  <si>
    <t>Systém musí umožniť označiť vybrané verzie ako „auditne chránené“ a zabrániť ich zmazaniu. Takéto verzie musia byť prístupné len oprávneným rolám.</t>
  </si>
  <si>
    <t>Systém musí pri publikovaní novej verzie vygenerovať stručný popis zmien (dotknuté územie, typ zmeny, zdroj). Changelog musí byť dostupný používateľom aj interným rolám.</t>
  </si>
  <si>
    <t>Systém musí poskytovať funkciu monitoringu dostupnosti koncových služieb a zaznamenávať výpadky. Záznamy musia byť použiteľné pre SLA reporting.</t>
  </si>
  <si>
    <t>Systém musí poskytnúť dashboardy o využití datasetov, generovaní balíkov, chybách a výkone služieb. Dashboardy musia byť filtrovatelné podľa času, územia a organizácie.</t>
  </si>
  <si>
    <t>Systém musí umožniť vytvoriť plán aktualizácie referenčných údajov pre definované obdobie. Plán musí obsahovať územia, typ zberu a predpokladaný výstup.</t>
  </si>
  <si>
    <t>Systém musí umožniť priorizovať územia podľa času poslednej aktualizácie a podľa dopytu (napr. požiadavky OVM). Používateľ musí vedieť zdokumentovať dôvody priority.</t>
  </si>
  <si>
    <t>Systém musí umožniť priradiť plánovaný zber ku konkrétnym požiadavkám, ktoré tým budú pokryté. Prepojenie musí byť použiteľné pri spätnom vyhodnocovaní.</t>
  </si>
  <si>
    <t>Systém musí umožniť pripraviť podklady pre letové plánovanie dronov (oblasť, trasy, pokrytie) ako súčasť plánovania zberu. Výstupy musia byť exportovateľné pre realizátora.</t>
  </si>
  <si>
    <t>Systém musí umožniť evidovať náklady alebo odhady nákladov na zber/aktualizáciu. Tieto údaje musia byť použiteľné pre vyhodnocovanie návratnosti.</t>
  </si>
  <si>
    <t>Systém musí umožniť vyhodnotiť návratnosť plánovaných aktualizácií na základe vstupov (náklady, prínosy, rozsah používateľov). Výsledok musí byť zobrazený ako podklad pre rozhodovanie.</t>
  </si>
  <si>
    <t>Systém musí podporovať proces schvaľovania plánov s definovanými rolami a krokmi. Každý krok musí byť auditovaný a dohľadateľný.</t>
  </si>
  <si>
    <t>Systém musí umožniť exportovať plán zberu a reporty do bežných formátov. Export musí obsahovať identifikáciu verzie plánu a dátum.</t>
  </si>
  <si>
    <t>Systém musí umožniť exportovať manažérske prehľady o využívaní datasetov a pokrytí územia. Export musí byť dostupný oprávneným rolám a obsahovať časový rozsah.</t>
  </si>
  <si>
    <t>Systém musí umožniť exportovať prehľady o validačných prípadoch (počty, časy, výsledky). Prehľady musia podporovať filtrovanie podľa autorov, území a období.</t>
  </si>
  <si>
    <t>Systém musí umožniť exportovať prehľad plánovaných zberov a ich realizácie (stav, termíny, väzby na požiadavky). Výstup musí byť použiteľný ako podklad pre riadenie a kontrolu.</t>
  </si>
  <si>
    <t>Distribučné služby – rozšírenie o 3D vektor LOD2.x</t>
  </si>
  <si>
    <t>Prehliadanie 3D údajov + základné analýzy (koncová služba)</t>
  </si>
  <si>
    <t>Online vytváranie a dopĺňanie 3D údajov (koncová služba)</t>
  </si>
  <si>
    <t>Validácia a zápis do databázy (autorizované údaje)</t>
  </si>
  <si>
    <t>Podpora stavebného konania (DOK) – koncová služba</t>
  </si>
  <si>
    <t>Vloženie porealizačných údajov nových stavieb</t>
  </si>
  <si>
    <t>Správa používateľov a rolí (admin)</t>
  </si>
  <si>
    <t>Systém musí umožniť adminovi spravovať používateľov, roly a oprávnenia. Zmeny oprávnení musia byť auditované.</t>
  </si>
  <si>
    <t>Rozšírenie interných funkcií pre katalóg a publikovanie</t>
  </si>
  <si>
    <t>Rozšírenie správy používateľov a prístupov (funkčne)</t>
  </si>
  <si>
    <t>Kvalita, konzistencia, verzovanie (funkčné prvky)</t>
  </si>
  <si>
    <t>Distribúcia – škálovanie a automatizácia</t>
  </si>
  <si>
    <t>Prehliadanie a analýzy – pokročilé</t>
  </si>
  <si>
    <t>Online tvorba a import – škálovanie</t>
  </si>
  <si>
    <t>Podpora stavebného konania – integrácie a audit</t>
  </si>
  <si>
    <t>Automatizovaná správa údajov – metadáta, indexácia, archív</t>
  </si>
  <si>
    <t>Reporty a exporty pre riadenie (funkčne)</t>
  </si>
  <si>
    <r>
      <t>Sadzba - revízia výdavkov</t>
    </r>
    <r>
      <rPr>
        <b/>
        <sz val="11"/>
        <color theme="0"/>
        <rFont val="Calibri Light"/>
        <family val="1"/>
        <charset val="2"/>
        <scheme val="major"/>
      </rPr>
      <t xml:space="preserve"> bez DPH</t>
    </r>
  </si>
  <si>
    <t>Cena externých prác stanovená na základe revidovaných výdavkov. 
Cena interných prác stanovená ako maximálna v rámci projektu (25 EUR/ČLH)</t>
  </si>
  <si>
    <t>Údaje LOD 2.2 s textúrou - Bratislava</t>
  </si>
  <si>
    <t>Odborný odhad</t>
  </si>
  <si>
    <t>Údaje LOD 2.2 s textúrou - Žilina</t>
  </si>
  <si>
    <t>Údaje LOD 2.2 s textúrou - Košice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</si>
</sst>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0.00\ _€_-;\-* #,##0.00\ _€_-;_-* &quot;-&quot;??\ _€_-;_-@_-"/>
    <numFmt numFmtId="165" formatCode="_-* #,##0\ _€_-;\-* #,##0\ _€_-;_-* &quot;-&quot;??\ _€_-;_-@_-"/>
    <numFmt numFmtId="166" formatCode="0.0%"/>
    <numFmt numFmtId="167" formatCode="#,##0_ ;\-#,##0;\-;@"/>
    <numFmt numFmtId="168" formatCode="0.00;\-0.00;\-;@"/>
    <numFmt numFmtId="169" formatCode="#,##0\ &quot;€&quot;"/>
    <numFmt numFmtId="170" formatCode="#,##0.00\ &quot;€&quot;"/>
    <numFmt numFmtId="171" formatCode="#,##0.0\ &quot;€&quot;"/>
  </numFmts>
  <fonts count="88">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sz val="9"/>
      <color indexed="81"/>
      <name val="Segoe UI"/>
      <family val="2"/>
    </font>
    <font>
      <b/>
      <sz val="9"/>
      <color indexed="81"/>
      <name val="Segoe UI"/>
      <family val="2"/>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10"/>
      <name val="Calibri"/>
      <family val="2"/>
      <scheme val="minor"/>
    </font>
    <font>
      <sz val="11"/>
      <color rgb="FF000000"/>
      <name val="Calibri Light"/>
      <family val="2"/>
      <scheme val="major"/>
    </font>
    <font>
      <b/>
      <sz val="11"/>
      <color theme="1"/>
      <name val="Calibri"/>
      <family val="2"/>
      <scheme val="minor"/>
    </font>
    <font>
      <b/>
      <sz val="9"/>
      <color rgb="FF000000"/>
      <name val="Segoe UI"/>
      <family val="2"/>
      <charset val="1"/>
    </font>
    <font>
      <sz val="9"/>
      <color rgb="FF000000"/>
      <name val="Segoe UI"/>
      <family val="2"/>
      <charset val="1"/>
    </font>
    <font>
      <b/>
      <sz val="11"/>
      <color rgb="FF000000"/>
      <name val="Calibri"/>
      <family val="2"/>
      <scheme val="minor"/>
    </font>
  </fonts>
  <fills count="38">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s>
  <borders count="167">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right/>
      <top style="thin">
        <color rgb="FF7F7F7F"/>
      </top>
      <bottom style="thin">
        <color rgb="FF7F7F7F"/>
      </bottom>
      <diagonal/>
    </border>
    <border>
      <left style="medium">
        <color indexed="64"/>
      </left>
      <right style="thin">
        <color indexed="64"/>
      </right>
      <top style="thin">
        <color rgb="FF7F7F7F"/>
      </top>
      <bottom style="medium">
        <color indexed="64"/>
      </bottom>
      <diagonal/>
    </border>
    <border>
      <left style="thin">
        <color indexed="64"/>
      </left>
      <right style="thin">
        <color indexed="64"/>
      </right>
      <top style="thin">
        <color rgb="FF7F7F7F"/>
      </top>
      <bottom style="medium">
        <color indexed="64"/>
      </bottom>
      <diagonal/>
    </border>
    <border>
      <left style="thin">
        <color indexed="64"/>
      </left>
      <right style="medium">
        <color indexed="64"/>
      </right>
      <top style="thin">
        <color rgb="FF7F7F7F"/>
      </top>
      <bottom style="medium">
        <color indexed="64"/>
      </bottom>
      <diagonal/>
    </border>
    <border>
      <left style="thin">
        <color theme="0" tint="-0.24994659260841701"/>
      </left>
      <right/>
      <top/>
      <bottom/>
      <diagonal/>
    </border>
    <border>
      <left/>
      <right style="thin">
        <color theme="0" tint="-0.24994659260841701"/>
      </right>
      <top/>
      <bottom/>
      <diagonal/>
    </border>
  </borders>
  <cellStyleXfs count="13">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4" fontId="2" fillId="0" borderId="0" applyFont="0" applyFill="0" applyBorder="0" applyAlignment="0" applyProtection="0"/>
    <xf numFmtId="0" fontId="45" fillId="0" borderId="0" applyNumberFormat="0" applyFill="0" applyBorder="0" applyAlignment="0" applyProtection="0"/>
    <xf numFmtId="44" fontId="2" fillId="0" borderId="0" applyFont="0" applyFill="0" applyBorder="0" applyAlignment="0" applyProtection="0"/>
    <xf numFmtId="0" fontId="61" fillId="0" borderId="0"/>
    <xf numFmtId="0" fontId="65" fillId="0" borderId="0" applyNumberFormat="0" applyFill="0" applyBorder="0" applyAlignment="0" applyProtection="0">
      <alignment vertical="top"/>
      <protection locked="0"/>
    </xf>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871">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0" fillId="6" borderId="0" xfId="0" applyFill="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Alignment="1">
      <alignment horizontal="center" vertical="top" wrapText="1"/>
    </xf>
    <xf numFmtId="0" fontId="0" fillId="6" borderId="18" xfId="0" applyFill="1" applyBorder="1" applyAlignment="1">
      <alignment horizontal="left" vertical="top" wrapText="1"/>
    </xf>
    <xf numFmtId="0" fontId="0" fillId="7" borderId="0" xfId="0" applyFill="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5"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6"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4" fontId="7" fillId="4" borderId="41" xfId="2" applyNumberFormat="1" applyBorder="1" applyAlignment="1">
      <alignment horizontal="right" vertical="top" wrapText="1"/>
    </xf>
    <xf numFmtId="4" fontId="7" fillId="4" borderId="44" xfId="2" applyNumberFormat="1" applyBorder="1" applyAlignment="1">
      <alignment horizontal="right" vertical="top" wrapText="1"/>
    </xf>
    <xf numFmtId="0" fontId="14" fillId="0" borderId="0" xfId="0" applyFont="1"/>
    <xf numFmtId="0" fontId="0" fillId="6" borderId="6" xfId="0" applyFill="1" applyBorder="1" applyAlignment="1">
      <alignment horizontal="left" vertical="top" wrapText="1"/>
    </xf>
    <xf numFmtId="0" fontId="9" fillId="7" borderId="64"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5" xfId="2" applyNumberFormat="1" applyBorder="1" applyAlignment="1">
      <alignment horizontal="right" vertical="top" wrapText="1"/>
    </xf>
    <xf numFmtId="4" fontId="7" fillId="4" borderId="66" xfId="2" applyNumberFormat="1" applyBorder="1" applyAlignment="1">
      <alignment horizontal="right" vertical="top" wrapText="1"/>
    </xf>
    <xf numFmtId="4" fontId="7" fillId="4" borderId="67" xfId="2" applyNumberFormat="1" applyBorder="1" applyAlignment="1">
      <alignment horizontal="right" vertical="top" wrapText="1"/>
    </xf>
    <xf numFmtId="4" fontId="7" fillId="4" borderId="68" xfId="2" applyNumberFormat="1" applyBorder="1" applyAlignment="1">
      <alignment horizontal="right" vertical="top" wrapText="1"/>
    </xf>
    <xf numFmtId="4" fontId="7" fillId="4" borderId="70" xfId="2" applyNumberFormat="1" applyBorder="1" applyAlignment="1">
      <alignment horizontal="right" vertical="top" wrapText="1"/>
    </xf>
    <xf numFmtId="0" fontId="0" fillId="0" borderId="69" xfId="0" applyBorder="1" applyAlignment="1">
      <alignment horizontal="left" vertical="top" wrapText="1"/>
    </xf>
    <xf numFmtId="0" fontId="10" fillId="6" borderId="34"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1" xfId="2" applyNumberFormat="1" applyBorder="1" applyAlignment="1">
      <alignment horizontal="right" vertical="top" wrapText="1"/>
    </xf>
    <xf numFmtId="4" fontId="7" fillId="4" borderId="72" xfId="2" applyNumberFormat="1" applyBorder="1" applyAlignment="1">
      <alignment horizontal="right" vertical="top" wrapText="1"/>
    </xf>
    <xf numFmtId="4" fontId="7" fillId="4" borderId="73"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4" xfId="1" applyBorder="1" applyAlignment="1">
      <alignment horizontal="right" vertical="top" wrapText="1"/>
    </xf>
    <xf numFmtId="4" fontId="7" fillId="4" borderId="35" xfId="2" applyNumberFormat="1" applyBorder="1" applyAlignment="1">
      <alignment horizontal="lef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4" fontId="7" fillId="4" borderId="77" xfId="2" applyNumberFormat="1" applyBorder="1" applyAlignment="1">
      <alignment horizontal="right" vertical="top" wrapText="1"/>
    </xf>
    <xf numFmtId="0" fontId="0" fillId="0" borderId="0" xfId="0" applyAlignment="1">
      <alignment wrapText="1"/>
    </xf>
    <xf numFmtId="0" fontId="9" fillId="0" borderId="0" xfId="0" applyFont="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4"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6" xfId="2" applyNumberFormat="1" applyBorder="1" applyAlignment="1">
      <alignment horizontal="right" vertical="top" wrapText="1"/>
    </xf>
    <xf numFmtId="3" fontId="7" fillId="4" borderId="67"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6" fillId="0" borderId="0" xfId="0" applyFont="1" applyAlignment="1">
      <alignment horizontal="center"/>
    </xf>
    <xf numFmtId="0" fontId="27" fillId="0" borderId="0" xfId="0" applyFont="1"/>
    <xf numFmtId="49" fontId="27" fillId="0" borderId="0" xfId="0" applyNumberFormat="1" applyFont="1"/>
    <xf numFmtId="3" fontId="7" fillId="4" borderId="67" xfId="2" applyNumberFormat="1" applyBorder="1"/>
    <xf numFmtId="0" fontId="25" fillId="0" borderId="0" xfId="0" applyFont="1" applyAlignment="1">
      <alignment horizontal="center"/>
    </xf>
    <xf numFmtId="0" fontId="27" fillId="0" borderId="0" xfId="0" applyFont="1" applyAlignment="1">
      <alignment horizontal="center"/>
    </xf>
    <xf numFmtId="0" fontId="26" fillId="0" borderId="0" xfId="0" applyFont="1"/>
    <xf numFmtId="0" fontId="26" fillId="0" borderId="0" xfId="0" applyFont="1" applyAlignment="1">
      <alignment wrapText="1"/>
    </xf>
    <xf numFmtId="0" fontId="25" fillId="0" borderId="0" xfId="0" applyFont="1"/>
    <xf numFmtId="0" fontId="9" fillId="7" borderId="64" xfId="0" applyFont="1" applyFill="1" applyBorder="1" applyAlignment="1">
      <alignment horizontal="center" vertical="top" wrapText="1"/>
    </xf>
    <xf numFmtId="3" fontId="7" fillId="4" borderId="35" xfId="2" applyNumberFormat="1" applyBorder="1"/>
    <xf numFmtId="3" fontId="7" fillId="4" borderId="82" xfId="2" applyNumberFormat="1" applyBorder="1"/>
    <xf numFmtId="0" fontId="0" fillId="6" borderId="83" xfId="0" applyFill="1" applyBorder="1" applyAlignment="1">
      <alignment horizontal="center" vertical="top" wrapText="1"/>
    </xf>
    <xf numFmtId="3" fontId="7" fillId="4" borderId="76" xfId="2" applyNumberFormat="1" applyBorder="1" applyAlignment="1">
      <alignment horizontal="right"/>
    </xf>
    <xf numFmtId="3" fontId="7" fillId="4" borderId="77" xfId="2" applyNumberFormat="1" applyBorder="1" applyAlignment="1">
      <alignment horizontal="right"/>
    </xf>
    <xf numFmtId="3" fontId="7" fillId="4" borderId="64" xfId="2" applyNumberFormat="1" applyBorder="1"/>
    <xf numFmtId="3" fontId="7" fillId="4" borderId="30" xfId="2" applyNumberFormat="1" applyBorder="1"/>
    <xf numFmtId="3" fontId="7" fillId="4" borderId="84" xfId="2" applyNumberFormat="1" applyBorder="1"/>
    <xf numFmtId="0" fontId="24" fillId="0" borderId="14" xfId="0" applyFont="1" applyBorder="1"/>
    <xf numFmtId="0" fontId="24" fillId="0" borderId="23" xfId="0" applyFont="1" applyBorder="1"/>
    <xf numFmtId="0" fontId="26" fillId="0" borderId="24" xfId="0" applyFont="1" applyBorder="1"/>
    <xf numFmtId="0" fontId="8" fillId="0" borderId="0" xfId="0" applyFont="1"/>
    <xf numFmtId="0" fontId="0" fillId="0" borderId="37" xfId="0" applyBorder="1" applyAlignment="1">
      <alignment horizontal="left"/>
    </xf>
    <xf numFmtId="0" fontId="0" fillId="0" borderId="38" xfId="0" applyBorder="1" applyAlignment="1">
      <alignment horizontal="left"/>
    </xf>
    <xf numFmtId="0" fontId="0" fillId="6" borderId="81" xfId="0" applyFill="1" applyBorder="1" applyAlignment="1">
      <alignment horizontal="center" vertical="top" wrapText="1"/>
    </xf>
    <xf numFmtId="0" fontId="0" fillId="6" borderId="55" xfId="0" applyFill="1" applyBorder="1" applyAlignment="1">
      <alignment horizontal="center" vertical="top" wrapText="1"/>
    </xf>
    <xf numFmtId="0" fontId="0" fillId="6" borderId="56" xfId="0" applyFill="1" applyBorder="1" applyAlignment="1">
      <alignment horizontal="center" vertical="top" wrapText="1"/>
    </xf>
    <xf numFmtId="3" fontId="7" fillId="4" borderId="87" xfId="2" applyNumberFormat="1" applyBorder="1"/>
    <xf numFmtId="3" fontId="7" fillId="4" borderId="72" xfId="2" applyNumberFormat="1" applyBorder="1"/>
    <xf numFmtId="3" fontId="7" fillId="4" borderId="42" xfId="2" applyNumberFormat="1" applyBorder="1"/>
    <xf numFmtId="3" fontId="7" fillId="4" borderId="45" xfId="2" applyNumberFormat="1" applyBorder="1"/>
    <xf numFmtId="3" fontId="7" fillId="4" borderId="88" xfId="2" applyNumberFormat="1" applyBorder="1"/>
    <xf numFmtId="3" fontId="7" fillId="4" borderId="89" xfId="2" applyNumberFormat="1" applyBorder="1" applyAlignment="1">
      <alignment horizontal="right" vertical="top" wrapText="1"/>
    </xf>
    <xf numFmtId="3" fontId="7" fillId="4" borderId="50" xfId="2" applyNumberFormat="1" applyBorder="1" applyAlignment="1">
      <alignment horizontal="right" vertical="top" wrapText="1"/>
    </xf>
    <xf numFmtId="3" fontId="7" fillId="4" borderId="46" xfId="2" applyNumberFormat="1" applyBorder="1" applyAlignment="1">
      <alignment vertical="top" wrapText="1"/>
    </xf>
    <xf numFmtId="3" fontId="7" fillId="4" borderId="43" xfId="2" applyNumberFormat="1" applyBorder="1" applyAlignment="1">
      <alignment vertical="top" wrapText="1"/>
    </xf>
    <xf numFmtId="3" fontId="7" fillId="4" borderId="90" xfId="2" applyNumberFormat="1" applyBorder="1" applyAlignment="1">
      <alignment vertical="top" wrapText="1"/>
    </xf>
    <xf numFmtId="3" fontId="7" fillId="4" borderId="16" xfId="2" applyNumberFormat="1" applyAlignment="1">
      <alignment vertical="top" wrapText="1"/>
    </xf>
    <xf numFmtId="0" fontId="31" fillId="0" borderId="0" xfId="0" applyFont="1"/>
    <xf numFmtId="4" fontId="7" fillId="4" borderId="48" xfId="2" applyNumberFormat="1" applyBorder="1" applyAlignment="1">
      <alignment horizontal="right" vertical="top" wrapText="1"/>
    </xf>
    <xf numFmtId="4" fontId="0" fillId="0" borderId="0" xfId="0" applyNumberFormat="1" applyAlignment="1">
      <alignment horizontal="left" vertical="top" wrapText="1"/>
    </xf>
    <xf numFmtId="0" fontId="2" fillId="6" borderId="53" xfId="0" applyFont="1" applyFill="1" applyBorder="1" applyAlignment="1">
      <alignment horizontal="center" vertical="top" wrapText="1"/>
    </xf>
    <xf numFmtId="0" fontId="2" fillId="6" borderId="81"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0" borderId="37" xfId="0" applyFont="1" applyBorder="1" applyAlignment="1">
      <alignment horizontal="left"/>
    </xf>
    <xf numFmtId="3" fontId="7" fillId="4" borderId="92" xfId="2" applyNumberFormat="1" applyBorder="1"/>
    <xf numFmtId="3" fontId="7" fillId="4" borderId="16" xfId="2" applyNumberFormat="1"/>
    <xf numFmtId="4" fontId="7" fillId="4" borderId="93"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5" xfId="2" applyNumberFormat="1" applyBorder="1" applyAlignment="1">
      <alignment horizontal="righ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6" xfId="0" applyBorder="1"/>
    <xf numFmtId="0" fontId="0" fillId="0" borderId="5" xfId="0" applyBorder="1"/>
    <xf numFmtId="0" fontId="0" fillId="0" borderId="60" xfId="0" applyBorder="1" applyAlignment="1">
      <alignment horizontal="center" vertical="center"/>
    </xf>
    <xf numFmtId="0" fontId="0" fillId="0" borderId="13" xfId="0" applyBorder="1"/>
    <xf numFmtId="4" fontId="7" fillId="4" borderId="108" xfId="2" applyNumberFormat="1" applyBorder="1" applyAlignment="1">
      <alignment horizontal="right" vertical="top" wrapText="1"/>
    </xf>
    <xf numFmtId="4" fontId="7" fillId="4" borderId="107" xfId="2" applyNumberFormat="1" applyBorder="1" applyAlignment="1">
      <alignment horizontal="right" vertical="top" wrapText="1"/>
    </xf>
    <xf numFmtId="2" fontId="31"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2" fillId="0" borderId="28" xfId="0" applyFont="1" applyBorder="1" applyAlignment="1">
      <alignment horizontal="left" vertical="center" wrapText="1"/>
    </xf>
    <xf numFmtId="4" fontId="34" fillId="4" borderId="108" xfId="2" applyNumberFormat="1" applyFont="1" applyBorder="1" applyAlignment="1">
      <alignment horizontal="left" vertical="center" wrapText="1"/>
    </xf>
    <xf numFmtId="4" fontId="7" fillId="13" borderId="107" xfId="2" applyNumberFormat="1" applyFill="1" applyBorder="1" applyAlignment="1">
      <alignment horizontal="right" vertical="center" wrapText="1"/>
    </xf>
    <xf numFmtId="166" fontId="33" fillId="13" borderId="107" xfId="4" applyNumberFormat="1" applyFont="1" applyFill="1" applyBorder="1" applyAlignment="1">
      <alignment horizontal="right" vertical="center" wrapText="1"/>
    </xf>
    <xf numFmtId="3" fontId="33" fillId="13" borderId="107" xfId="4" applyNumberFormat="1" applyFont="1" applyFill="1" applyBorder="1" applyAlignment="1">
      <alignment horizontal="right" vertical="center" wrapText="1"/>
    </xf>
    <xf numFmtId="0" fontId="35" fillId="0" borderId="0" xfId="0" applyFont="1" applyAlignment="1">
      <alignment horizontal="right" vertical="center"/>
    </xf>
    <xf numFmtId="4" fontId="36" fillId="9" borderId="107" xfId="2" applyNumberFormat="1" applyFont="1" applyFill="1" applyBorder="1" applyAlignment="1">
      <alignment horizontal="right" vertical="center" wrapText="1"/>
    </xf>
    <xf numFmtId="166" fontId="37" fillId="9" borderId="107" xfId="4" applyNumberFormat="1" applyFont="1" applyFill="1" applyBorder="1" applyAlignment="1">
      <alignment horizontal="right" vertical="center" wrapText="1"/>
    </xf>
    <xf numFmtId="0" fontId="38" fillId="0" borderId="0" xfId="0" applyFont="1" applyAlignment="1">
      <alignment vertical="center"/>
    </xf>
    <xf numFmtId="3" fontId="37" fillId="9" borderId="107" xfId="4" applyNumberFormat="1" applyFont="1" applyFill="1" applyBorder="1" applyAlignment="1">
      <alignment horizontal="right" vertical="center" wrapText="1"/>
    </xf>
    <xf numFmtId="1" fontId="39" fillId="3" borderId="5" xfId="1" applyNumberFormat="1" applyFont="1" applyBorder="1" applyAlignment="1">
      <alignment horizontal="right" vertical="top" wrapText="1"/>
    </xf>
    <xf numFmtId="0" fontId="28" fillId="0" borderId="0" xfId="0" applyFont="1"/>
    <xf numFmtId="0" fontId="9" fillId="0" borderId="0" xfId="0" applyFont="1" applyAlignment="1">
      <alignment horizontal="center" vertical="top" wrapText="1"/>
    </xf>
    <xf numFmtId="3" fontId="7" fillId="0" borderId="0" xfId="2" applyNumberFormat="1" applyFill="1" applyBorder="1"/>
    <xf numFmtId="0" fontId="8" fillId="0" borderId="56" xfId="0" applyFont="1" applyBorder="1"/>
    <xf numFmtId="0" fontId="8" fillId="0" borderId="110" xfId="0" applyFont="1" applyBorder="1"/>
    <xf numFmtId="0" fontId="0" fillId="0" borderId="111" xfId="0" applyBorder="1" applyAlignment="1">
      <alignment horizontal="left"/>
    </xf>
    <xf numFmtId="0" fontId="9" fillId="7" borderId="30" xfId="0" applyFont="1" applyFill="1" applyBorder="1" applyAlignment="1">
      <alignment horizontal="center" vertical="top" wrapText="1"/>
    </xf>
    <xf numFmtId="0" fontId="0" fillId="0" borderId="6" xfId="0" applyBorder="1" applyAlignment="1">
      <alignment horizontal="right"/>
    </xf>
    <xf numFmtId="0" fontId="28" fillId="0" borderId="6" xfId="0" applyFont="1" applyBorder="1"/>
    <xf numFmtId="0" fontId="30" fillId="0" borderId="24" xfId="0" applyFont="1" applyBorder="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2" fontId="0" fillId="0" borderId="20" xfId="0" applyNumberFormat="1" applyBorder="1" applyAlignment="1">
      <alignment wrapText="1"/>
    </xf>
    <xf numFmtId="2" fontId="0" fillId="0" borderId="114" xfId="0" applyNumberFormat="1" applyBorder="1" applyAlignment="1">
      <alignment wrapText="1"/>
    </xf>
    <xf numFmtId="2" fontId="0" fillId="0" borderId="20" xfId="0" applyNumberFormat="1" applyBorder="1"/>
    <xf numFmtId="2" fontId="0" fillId="0" borderId="114" xfId="0" applyNumberFormat="1" applyBorder="1"/>
    <xf numFmtId="9" fontId="8" fillId="10" borderId="19" xfId="4" applyFont="1" applyFill="1" applyBorder="1" applyAlignment="1">
      <alignment wrapText="1"/>
    </xf>
    <xf numFmtId="9" fontId="8" fillId="10" borderId="113" xfId="4" applyFont="1" applyFill="1" applyBorder="1" applyAlignment="1">
      <alignment wrapText="1"/>
    </xf>
    <xf numFmtId="9" fontId="8" fillId="10" borderId="19" xfId="4" applyFont="1" applyFill="1" applyBorder="1"/>
    <xf numFmtId="9" fontId="8" fillId="10" borderId="113"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2" xfId="0" applyFont="1" applyFill="1" applyBorder="1" applyAlignment="1">
      <alignment horizontal="right"/>
    </xf>
    <xf numFmtId="0" fontId="8" fillId="10" borderId="106" xfId="0" applyFont="1" applyFill="1" applyBorder="1" applyAlignment="1">
      <alignment horizontal="right"/>
    </xf>
    <xf numFmtId="4" fontId="0" fillId="0" borderId="0" xfId="0" applyNumberFormat="1" applyAlignment="1">
      <alignment wrapText="1"/>
    </xf>
    <xf numFmtId="2" fontId="0" fillId="0" borderId="0" xfId="0" applyNumberFormat="1" applyAlignment="1">
      <alignment wrapText="1"/>
    </xf>
    <xf numFmtId="0" fontId="8" fillId="0" borderId="0" xfId="0" applyFont="1" applyAlignment="1">
      <alignment horizontal="center" vertical="center" wrapText="1"/>
    </xf>
    <xf numFmtId="0" fontId="8" fillId="0" borderId="0" xfId="0" applyFont="1" applyAlignment="1">
      <alignment horizontal="right" wrapText="1"/>
    </xf>
    <xf numFmtId="4" fontId="8" fillId="0" borderId="0" xfId="0" applyNumberFormat="1" applyFont="1" applyAlignment="1">
      <alignment wrapText="1"/>
    </xf>
    <xf numFmtId="9" fontId="8" fillId="17" borderId="20" xfId="4" applyFont="1" applyFill="1" applyBorder="1" applyAlignment="1">
      <alignment wrapText="1"/>
    </xf>
    <xf numFmtId="2" fontId="0" fillId="0" borderId="0" xfId="0" applyNumberFormat="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3" xfId="4" applyFont="1" applyFill="1" applyBorder="1" applyAlignment="1">
      <alignment wrapText="1"/>
    </xf>
    <xf numFmtId="9" fontId="8" fillId="17" borderId="114" xfId="4" applyFont="1" applyFill="1" applyBorder="1" applyAlignment="1">
      <alignment wrapText="1"/>
    </xf>
    <xf numFmtId="9" fontId="8" fillId="17" borderId="106" xfId="4" applyFont="1" applyFill="1" applyBorder="1" applyAlignment="1">
      <alignment wrapText="1"/>
    </xf>
    <xf numFmtId="0" fontId="0" fillId="15" borderId="55" xfId="0" applyFill="1" applyBorder="1"/>
    <xf numFmtId="0" fontId="0" fillId="15" borderId="22" xfId="0" applyFill="1" applyBorder="1"/>
    <xf numFmtId="0" fontId="0" fillId="15" borderId="80" xfId="0" applyFill="1" applyBorder="1"/>
    <xf numFmtId="0" fontId="0" fillId="15" borderId="104"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4" xfId="0" applyFont="1" applyBorder="1" applyAlignment="1">
      <alignment horizontal="center" vertical="center" wrapText="1"/>
    </xf>
    <xf numFmtId="0" fontId="29" fillId="0" borderId="123" xfId="0" applyFont="1" applyBorder="1" applyAlignment="1">
      <alignment horizontal="center" wrapText="1"/>
    </xf>
    <xf numFmtId="0" fontId="29" fillId="0" borderId="125" xfId="0" applyFont="1" applyBorder="1" applyAlignment="1">
      <alignment wrapText="1"/>
    </xf>
    <xf numFmtId="0" fontId="8" fillId="0" borderId="0" xfId="0" applyFont="1" applyAlignment="1">
      <alignment horizontal="center"/>
    </xf>
    <xf numFmtId="0" fontId="8" fillId="0" borderId="0" xfId="0" applyFont="1" applyAlignment="1">
      <alignment vertical="center"/>
    </xf>
    <xf numFmtId="0" fontId="8" fillId="0" borderId="126" xfId="0" applyFont="1" applyBorder="1" applyAlignment="1">
      <alignment horizontal="center" vertical="center" wrapText="1"/>
    </xf>
    <xf numFmtId="0" fontId="8" fillId="0" borderId="0" xfId="0" applyFont="1" applyAlignment="1">
      <alignment horizontal="center" vertical="center"/>
    </xf>
    <xf numFmtId="0" fontId="8" fillId="0" borderId="120" xfId="0" applyFont="1" applyBorder="1" applyAlignment="1">
      <alignment horizontal="center" vertical="center" wrapText="1"/>
    </xf>
    <xf numFmtId="0" fontId="0" fillId="0" borderId="0" xfId="0" applyAlignment="1">
      <alignment horizontal="left"/>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15" borderId="103" xfId="0" applyFill="1" applyBorder="1"/>
    <xf numFmtId="0" fontId="0" fillId="15" borderId="104" xfId="0" applyFill="1" applyBorder="1" applyAlignment="1">
      <alignment horizontal="center"/>
    </xf>
    <xf numFmtId="0" fontId="0" fillId="15" borderId="22" xfId="0" applyFill="1" applyBorder="1" applyAlignment="1">
      <alignment horizontal="center"/>
    </xf>
    <xf numFmtId="0" fontId="0" fillId="15" borderId="103" xfId="0" applyFill="1" applyBorder="1" applyAlignment="1">
      <alignment horizontal="center"/>
    </xf>
    <xf numFmtId="0" fontId="29" fillId="0" borderId="122" xfId="0" applyFont="1" applyBorder="1" applyAlignment="1">
      <alignment horizontal="center" wrapText="1"/>
    </xf>
    <xf numFmtId="0" fontId="0" fillId="15" borderId="114" xfId="0" applyFill="1" applyBorder="1" applyAlignment="1">
      <alignment horizontal="center"/>
    </xf>
    <xf numFmtId="0" fontId="30" fillId="9" borderId="64" xfId="0" applyFont="1" applyFill="1" applyBorder="1" applyAlignment="1">
      <alignment horizontal="left" vertical="top"/>
    </xf>
    <xf numFmtId="0" fontId="0" fillId="15" borderId="126" xfId="0" applyFill="1" applyBorder="1"/>
    <xf numFmtId="0" fontId="0" fillId="15" borderId="120" xfId="0" applyFill="1" applyBorder="1" applyAlignment="1">
      <alignment horizontal="left"/>
    </xf>
    <xf numFmtId="0" fontId="0" fillId="15" borderId="120" xfId="0" applyFill="1" applyBorder="1" applyAlignment="1">
      <alignment horizontal="center"/>
    </xf>
    <xf numFmtId="0" fontId="0" fillId="15" borderId="121" xfId="0" applyFill="1" applyBorder="1"/>
    <xf numFmtId="0" fontId="29" fillId="0" borderId="124" xfId="0" applyFont="1" applyBorder="1" applyAlignment="1">
      <alignment wrapText="1"/>
    </xf>
    <xf numFmtId="0" fontId="0" fillId="15" borderId="113" xfId="0" applyFill="1" applyBorder="1" applyAlignment="1">
      <alignment horizontal="center"/>
    </xf>
    <xf numFmtId="0" fontId="0" fillId="15" borderId="115" xfId="0" applyFill="1" applyBorder="1" applyAlignment="1">
      <alignment horizontal="center"/>
    </xf>
    <xf numFmtId="0" fontId="0" fillId="15" borderId="115" xfId="0" applyFill="1" applyBorder="1"/>
    <xf numFmtId="0" fontId="29" fillId="0" borderId="29" xfId="0" applyFont="1" applyBorder="1" applyAlignment="1">
      <alignment horizontal="center" wrapText="1"/>
    </xf>
    <xf numFmtId="0" fontId="0" fillId="15" borderId="126" xfId="0" applyFill="1" applyBorder="1" applyAlignment="1">
      <alignment horizontal="center"/>
    </xf>
    <xf numFmtId="0" fontId="44" fillId="0" borderId="0" xfId="0" applyFont="1"/>
    <xf numFmtId="0" fontId="8" fillId="9" borderId="127" xfId="0" applyFont="1" applyFill="1" applyBorder="1"/>
    <xf numFmtId="0" fontId="8" fillId="9" borderId="123" xfId="0" applyFont="1" applyFill="1" applyBorder="1"/>
    <xf numFmtId="0" fontId="8" fillId="9" borderId="125" xfId="0" applyFont="1" applyFill="1" applyBorder="1"/>
    <xf numFmtId="0" fontId="0" fillId="23" borderId="104" xfId="0" applyFill="1" applyBorder="1"/>
    <xf numFmtId="0" fontId="0" fillId="23" borderId="22" xfId="0" applyFill="1" applyBorder="1"/>
    <xf numFmtId="0" fontId="29" fillId="15" borderId="22" xfId="0" applyFont="1" applyFill="1" applyBorder="1"/>
    <xf numFmtId="0" fontId="8" fillId="0" borderId="55"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0"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4" fontId="13" fillId="5" borderId="91" xfId="3" applyNumberFormat="1" applyFont="1" applyBorder="1" applyAlignment="1" applyProtection="1">
      <alignment horizontal="right" vertical="top" wrapText="1"/>
      <protection locked="0"/>
    </xf>
    <xf numFmtId="0" fontId="0" fillId="16" borderId="0" xfId="0" applyFill="1" applyAlignment="1">
      <alignment horizontal="left" vertical="top" wrapText="1"/>
    </xf>
    <xf numFmtId="0" fontId="29" fillId="0" borderId="0" xfId="0" applyFont="1" applyAlignment="1">
      <alignment horizontal="left" vertical="top" wrapText="1"/>
    </xf>
    <xf numFmtId="0" fontId="9" fillId="16" borderId="0" xfId="0" applyFont="1" applyFill="1" applyAlignment="1">
      <alignment horizontal="left" vertical="top" wrapText="1"/>
    </xf>
    <xf numFmtId="0" fontId="9" fillId="16" borderId="15" xfId="0" applyFont="1" applyFill="1" applyBorder="1" applyAlignment="1">
      <alignment horizontal="left" vertical="top" wrapText="1"/>
    </xf>
    <xf numFmtId="0" fontId="9" fillId="16" borderId="26" xfId="0" applyFont="1" applyFill="1" applyBorder="1" applyAlignment="1">
      <alignment horizontal="left" vertical="top" wrapText="1"/>
    </xf>
    <xf numFmtId="0" fontId="9" fillId="16" borderId="5" xfId="0" applyFont="1" applyFill="1" applyBorder="1" applyAlignment="1">
      <alignment horizontal="left" vertical="top" wrapText="1"/>
    </xf>
    <xf numFmtId="0" fontId="9" fillId="16" borderId="0" xfId="0" applyFont="1" applyFill="1" applyAlignment="1">
      <alignment horizontal="center" vertical="top" wrapText="1"/>
    </xf>
    <xf numFmtId="0" fontId="9" fillId="16" borderId="27" xfId="0" applyFont="1" applyFill="1" applyBorder="1" applyAlignment="1">
      <alignment horizontal="center"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167" fontId="0" fillId="0" borderId="14" xfId="5" applyNumberFormat="1" applyFont="1" applyBorder="1" applyAlignment="1" applyProtection="1">
      <alignment horizontal="center" vertical="center" wrapText="1"/>
    </xf>
    <xf numFmtId="167" fontId="0" fillId="0" borderId="23" xfId="5" applyNumberFormat="1" applyFont="1" applyBorder="1" applyAlignment="1" applyProtection="1">
      <alignment horizontal="center" vertical="center" wrapText="1"/>
    </xf>
    <xf numFmtId="167" fontId="0" fillId="0" borderId="13" xfId="5" applyNumberFormat="1" applyFont="1" applyBorder="1" applyAlignment="1" applyProtection="1">
      <alignment horizontal="center" vertical="center" wrapText="1"/>
    </xf>
    <xf numFmtId="167" fontId="13" fillId="5" borderId="78" xfId="5" applyNumberFormat="1" applyFont="1" applyFill="1" applyBorder="1" applyAlignment="1" applyProtection="1">
      <alignment horizontal="center" vertical="center" wrapText="1"/>
    </xf>
    <xf numFmtId="167" fontId="13" fillId="5" borderId="51" xfId="5" applyNumberFormat="1" applyFont="1" applyFill="1" applyBorder="1" applyAlignment="1" applyProtection="1">
      <alignment horizontal="center" vertical="center" wrapText="1"/>
    </xf>
    <xf numFmtId="167" fontId="42" fillId="18" borderId="51" xfId="5" applyNumberFormat="1" applyFont="1" applyFill="1" applyBorder="1" applyAlignment="1" applyProtection="1">
      <alignment horizontal="center" vertical="center" wrapText="1"/>
    </xf>
    <xf numFmtId="9" fontId="29" fillId="0" borderId="0" xfId="4" applyFont="1" applyAlignment="1" applyProtection="1">
      <alignment horizontal="left" vertical="top" wrapText="1"/>
    </xf>
    <xf numFmtId="167" fontId="0" fillId="0" borderId="24" xfId="5" applyNumberFormat="1" applyFont="1" applyBorder="1" applyAlignment="1" applyProtection="1">
      <alignment horizontal="center" vertical="center" wrapText="1"/>
    </xf>
    <xf numFmtId="167" fontId="0" fillId="0" borderId="0" xfId="5" applyNumberFormat="1" applyFont="1" applyBorder="1" applyAlignment="1" applyProtection="1">
      <alignment horizontal="center" vertical="center" wrapText="1"/>
    </xf>
    <xf numFmtId="167" fontId="0" fillId="0" borderId="6" xfId="5" applyNumberFormat="1" applyFont="1" applyBorder="1" applyAlignment="1" applyProtection="1">
      <alignment horizontal="center" vertical="center" wrapText="1"/>
    </xf>
    <xf numFmtId="167" fontId="42" fillId="18" borderId="17" xfId="5" applyNumberFormat="1" applyFont="1" applyFill="1" applyBorder="1" applyAlignment="1" applyProtection="1">
      <alignment horizontal="center" vertical="center" wrapText="1"/>
    </xf>
    <xf numFmtId="0" fontId="0" fillId="0" borderId="5" xfId="0" applyBorder="1" applyAlignment="1">
      <alignment horizontal="left" vertical="top" wrapText="1"/>
    </xf>
    <xf numFmtId="167" fontId="0" fillId="0" borderId="15" xfId="5" applyNumberFormat="1" applyFont="1" applyBorder="1" applyAlignment="1" applyProtection="1">
      <alignment horizontal="center" vertical="center" wrapText="1"/>
    </xf>
    <xf numFmtId="167" fontId="0" fillId="0" borderId="26" xfId="5" applyNumberFormat="1" applyFont="1" applyBorder="1" applyAlignment="1" applyProtection="1">
      <alignment horizontal="center" vertical="center" wrapText="1"/>
    </xf>
    <xf numFmtId="167" fontId="0" fillId="0" borderId="5" xfId="5" applyNumberFormat="1" applyFont="1" applyBorder="1" applyAlignment="1" applyProtection="1">
      <alignment horizontal="center" vertical="center" wrapText="1"/>
    </xf>
    <xf numFmtId="167" fontId="42" fillId="18" borderId="52" xfId="5" applyNumberFormat="1" applyFont="1" applyFill="1" applyBorder="1" applyAlignment="1" applyProtection="1">
      <alignment horizontal="center" vertical="center" wrapText="1"/>
    </xf>
    <xf numFmtId="168" fontId="0" fillId="0" borderId="14" xfId="0" applyNumberFormat="1" applyBorder="1" applyAlignment="1">
      <alignment horizontal="center" vertical="center" wrapText="1"/>
    </xf>
    <xf numFmtId="168" fontId="0" fillId="0" borderId="23" xfId="0" applyNumberFormat="1" applyBorder="1" applyAlignment="1">
      <alignment horizontal="center" vertical="center" wrapText="1"/>
    </xf>
    <xf numFmtId="168" fontId="0" fillId="0" borderId="13" xfId="0" applyNumberFormat="1" applyBorder="1" applyAlignment="1">
      <alignment horizontal="center" vertical="center" wrapText="1"/>
    </xf>
    <xf numFmtId="168" fontId="42" fillId="18" borderId="51" xfId="3" applyNumberFormat="1" applyFont="1" applyFill="1" applyBorder="1" applyAlignment="1" applyProtection="1">
      <alignment horizontal="center" vertical="center" wrapText="1"/>
    </xf>
    <xf numFmtId="168" fontId="0" fillId="0" borderId="24" xfId="0" applyNumberFormat="1" applyBorder="1" applyAlignment="1">
      <alignment horizontal="center" vertical="center" wrapText="1"/>
    </xf>
    <xf numFmtId="168" fontId="0" fillId="0" borderId="0" xfId="0" applyNumberFormat="1" applyAlignment="1">
      <alignment horizontal="center" vertical="center" wrapText="1"/>
    </xf>
    <xf numFmtId="168" fontId="0" fillId="0" borderId="6" xfId="0" applyNumberFormat="1" applyBorder="1" applyAlignment="1">
      <alignment horizontal="center" vertical="center" wrapText="1"/>
    </xf>
    <xf numFmtId="168" fontId="42" fillId="18" borderId="17" xfId="3" applyNumberFormat="1" applyFont="1" applyFill="1" applyAlignment="1" applyProtection="1">
      <alignment horizontal="center" vertical="center" wrapText="1"/>
    </xf>
    <xf numFmtId="168" fontId="0" fillId="0" borderId="15" xfId="0" applyNumberFormat="1" applyBorder="1" applyAlignment="1">
      <alignment horizontal="center" vertical="center" wrapText="1"/>
    </xf>
    <xf numFmtId="168" fontId="0" fillId="0" borderId="26" xfId="0" applyNumberFormat="1" applyBorder="1" applyAlignment="1">
      <alignment horizontal="center" vertical="center" wrapText="1"/>
    </xf>
    <xf numFmtId="168" fontId="0" fillId="0" borderId="5" xfId="0" applyNumberFormat="1" applyBorder="1" applyAlignment="1">
      <alignment horizontal="center" vertical="center" wrapText="1"/>
    </xf>
    <xf numFmtId="168" fontId="42" fillId="18" borderId="52" xfId="3" applyNumberFormat="1" applyFont="1" applyFill="1" applyBorder="1" applyAlignment="1" applyProtection="1">
      <alignment horizontal="center" vertical="center" wrapText="1"/>
    </xf>
    <xf numFmtId="9" fontId="29" fillId="0" borderId="18" xfId="0" applyNumberFormat="1" applyFont="1" applyBorder="1" applyAlignment="1">
      <alignment horizontal="left" vertical="top" wrapText="1"/>
    </xf>
    <xf numFmtId="0" fontId="0" fillId="0" borderId="18" xfId="0" applyBorder="1" applyAlignment="1">
      <alignment horizontal="left" vertical="top" wrapText="1"/>
    </xf>
    <xf numFmtId="0" fontId="29" fillId="0" borderId="21" xfId="0" applyFont="1" applyBorder="1" applyAlignment="1">
      <alignment horizontal="left" vertical="top" wrapText="1"/>
    </xf>
    <xf numFmtId="0" fontId="0" fillId="0" borderId="21" xfId="0" applyBorder="1" applyAlignment="1">
      <alignment horizontal="left" vertical="top" wrapText="1"/>
    </xf>
    <xf numFmtId="0" fontId="8" fillId="14" borderId="28" xfId="0" applyFont="1" applyFill="1" applyBorder="1" applyAlignment="1">
      <alignment horizontal="left" vertical="top" wrapText="1"/>
    </xf>
    <xf numFmtId="0" fontId="0" fillId="14" borderId="29" xfId="0" applyFill="1" applyBorder="1" applyAlignment="1">
      <alignment horizontal="left" vertical="top" wrapText="1"/>
    </xf>
    <xf numFmtId="0" fontId="0" fillId="14" borderId="30" xfId="0" applyFill="1" applyBorder="1" applyAlignment="1">
      <alignment horizontal="left" vertical="top" wrapText="1"/>
    </xf>
    <xf numFmtId="0" fontId="40" fillId="14" borderId="29" xfId="0" applyFont="1" applyFill="1" applyBorder="1" applyAlignment="1">
      <alignment horizontal="left" vertical="top" wrapText="1"/>
    </xf>
    <xf numFmtId="0" fontId="13" fillId="14" borderId="119" xfId="3" applyFont="1" applyFill="1" applyBorder="1" applyAlignment="1" applyProtection="1">
      <alignment horizontal="right" vertical="top" wrapText="1"/>
    </xf>
    <xf numFmtId="0" fontId="42" fillId="14" borderId="119" xfId="3" applyFont="1" applyFill="1" applyBorder="1" applyAlignment="1" applyProtection="1">
      <alignment horizontal="right" vertical="top" wrapText="1"/>
    </xf>
    <xf numFmtId="0" fontId="0" fillId="7" borderId="6" xfId="0" applyFill="1" applyBorder="1" applyAlignment="1">
      <alignment horizontal="left" vertical="top" wrapText="1"/>
    </xf>
    <xf numFmtId="167" fontId="43" fillId="18" borderId="24" xfId="5" applyNumberFormat="1" applyFont="1" applyFill="1" applyBorder="1" applyAlignment="1" applyProtection="1">
      <alignment horizontal="center" vertical="center" wrapText="1"/>
    </xf>
    <xf numFmtId="167" fontId="43" fillId="18" borderId="0" xfId="5" applyNumberFormat="1" applyFont="1" applyFill="1" applyBorder="1" applyAlignment="1" applyProtection="1">
      <alignment horizontal="center" vertical="center" wrapText="1"/>
    </xf>
    <xf numFmtId="167" fontId="43" fillId="18" borderId="6" xfId="5" applyNumberFormat="1" applyFont="1" applyFill="1" applyBorder="1" applyAlignment="1" applyProtection="1">
      <alignment horizontal="center" vertical="center" wrapText="1"/>
    </xf>
    <xf numFmtId="167" fontId="42" fillId="21" borderId="117" xfId="5" applyNumberFormat="1" applyFont="1" applyFill="1" applyBorder="1" applyAlignment="1" applyProtection="1">
      <alignment horizontal="center" vertical="center" wrapText="1"/>
    </xf>
    <xf numFmtId="167" fontId="42" fillId="21" borderId="118" xfId="5" applyNumberFormat="1" applyFont="1" applyFill="1" applyBorder="1" applyAlignment="1" applyProtection="1">
      <alignment horizontal="center" vertical="center" wrapText="1"/>
    </xf>
    <xf numFmtId="167" fontId="42" fillId="18" borderId="118" xfId="5" applyNumberFormat="1" applyFont="1" applyFill="1" applyBorder="1" applyAlignment="1" applyProtection="1">
      <alignment horizontal="center" vertical="center" wrapText="1"/>
    </xf>
    <xf numFmtId="9" fontId="29" fillId="0" borderId="24" xfId="0" applyNumberFormat="1" applyFont="1" applyBorder="1" applyAlignment="1">
      <alignment horizontal="left" vertical="top" wrapText="1"/>
    </xf>
    <xf numFmtId="167" fontId="42" fillId="21" borderId="40" xfId="5" applyNumberFormat="1" applyFont="1" applyFill="1" applyBorder="1" applyAlignment="1" applyProtection="1">
      <alignment horizontal="center" vertical="center" wrapText="1"/>
    </xf>
    <xf numFmtId="167" fontId="42" fillId="21" borderId="17" xfId="5" applyNumberFormat="1" applyFont="1" applyFill="1" applyBorder="1" applyAlignment="1" applyProtection="1">
      <alignment horizontal="center" vertical="center" wrapText="1"/>
    </xf>
    <xf numFmtId="0" fontId="0" fillId="7" borderId="5" xfId="0" applyFill="1" applyBorder="1" applyAlignment="1">
      <alignment horizontal="left" vertical="top" wrapText="1"/>
    </xf>
    <xf numFmtId="167" fontId="43" fillId="18" borderId="15" xfId="5" applyNumberFormat="1" applyFont="1" applyFill="1" applyBorder="1" applyAlignment="1" applyProtection="1">
      <alignment horizontal="center" vertical="center" wrapText="1"/>
    </xf>
    <xf numFmtId="167" fontId="43" fillId="18" borderId="26" xfId="5" applyNumberFormat="1" applyFont="1" applyFill="1" applyBorder="1" applyAlignment="1" applyProtection="1">
      <alignment horizontal="center" vertical="center" wrapText="1"/>
    </xf>
    <xf numFmtId="167" fontId="43" fillId="18" borderId="5" xfId="5" applyNumberFormat="1" applyFont="1" applyFill="1" applyBorder="1" applyAlignment="1" applyProtection="1">
      <alignment horizontal="center" vertical="center" wrapText="1"/>
    </xf>
    <xf numFmtId="167" fontId="42" fillId="21" borderId="79" xfId="5" applyNumberFormat="1" applyFont="1" applyFill="1" applyBorder="1" applyAlignment="1" applyProtection="1">
      <alignment horizontal="center" vertical="center" wrapText="1"/>
    </xf>
    <xf numFmtId="167" fontId="42" fillId="21" borderId="52" xfId="5" applyNumberFormat="1" applyFont="1" applyFill="1" applyBorder="1" applyAlignment="1" applyProtection="1">
      <alignment horizontal="center" vertical="center" wrapText="1"/>
    </xf>
    <xf numFmtId="167" fontId="42" fillId="21" borderId="78" xfId="5" applyNumberFormat="1" applyFont="1" applyFill="1" applyBorder="1" applyAlignment="1" applyProtection="1">
      <alignment horizontal="center" vertical="center" wrapText="1"/>
    </xf>
    <xf numFmtId="167" fontId="42" fillId="21" borderId="51" xfId="5" applyNumberFormat="1" applyFont="1" applyFill="1" applyBorder="1" applyAlignment="1" applyProtection="1">
      <alignment horizontal="center" vertical="center" wrapText="1"/>
    </xf>
    <xf numFmtId="168" fontId="42" fillId="21" borderId="78" xfId="5" applyNumberFormat="1" applyFont="1" applyFill="1" applyBorder="1" applyAlignment="1" applyProtection="1">
      <alignment horizontal="center" vertical="center" wrapText="1"/>
    </xf>
    <xf numFmtId="168" fontId="42" fillId="21" borderId="51" xfId="5" applyNumberFormat="1" applyFont="1" applyFill="1" applyBorder="1" applyAlignment="1" applyProtection="1">
      <alignment horizontal="center" vertical="center" wrapText="1"/>
    </xf>
    <xf numFmtId="168" fontId="42" fillId="18" borderId="51" xfId="5" applyNumberFormat="1" applyFont="1" applyFill="1" applyBorder="1" applyAlignment="1" applyProtection="1">
      <alignment horizontal="center" vertical="center" wrapText="1"/>
    </xf>
    <xf numFmtId="168" fontId="42" fillId="21" borderId="40" xfId="5" applyNumberFormat="1" applyFont="1" applyFill="1" applyBorder="1" applyAlignment="1" applyProtection="1">
      <alignment horizontal="center" vertical="center" wrapText="1"/>
    </xf>
    <xf numFmtId="168" fontId="42" fillId="21" borderId="17" xfId="5" applyNumberFormat="1" applyFont="1" applyFill="1" applyBorder="1" applyAlignment="1" applyProtection="1">
      <alignment horizontal="center" vertical="center" wrapText="1"/>
    </xf>
    <xf numFmtId="168" fontId="42" fillId="18" borderId="17" xfId="5" applyNumberFormat="1" applyFont="1" applyFill="1" applyBorder="1" applyAlignment="1" applyProtection="1">
      <alignment horizontal="center" vertical="center" wrapText="1"/>
    </xf>
    <xf numFmtId="168" fontId="42" fillId="21" borderId="79" xfId="5" applyNumberFormat="1" applyFont="1" applyFill="1" applyBorder="1" applyAlignment="1" applyProtection="1">
      <alignment horizontal="center" vertical="center" wrapText="1"/>
    </xf>
    <xf numFmtId="168" fontId="42" fillId="21" borderId="52" xfId="5" applyNumberFormat="1" applyFont="1" applyFill="1" applyBorder="1" applyAlignment="1" applyProtection="1">
      <alignment horizontal="center" vertical="center" wrapText="1"/>
    </xf>
    <xf numFmtId="168" fontId="42" fillId="18" borderId="52" xfId="5" applyNumberFormat="1" applyFont="1" applyFill="1" applyBorder="1" applyAlignment="1" applyProtection="1">
      <alignment horizontal="center"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xf>
    <xf numFmtId="3" fontId="7" fillId="4" borderId="74" xfId="2" applyNumberFormat="1" applyBorder="1" applyAlignment="1">
      <alignment horizontal="right"/>
    </xf>
    <xf numFmtId="3" fontId="7" fillId="4" borderId="87" xfId="2" applyNumberFormat="1" applyBorder="1" applyProtection="1">
      <protection locked="0"/>
    </xf>
    <xf numFmtId="3" fontId="7" fillId="4" borderId="35" xfId="2" applyNumberFormat="1" applyBorder="1" applyProtection="1">
      <protection locked="0"/>
    </xf>
    <xf numFmtId="3" fontId="7" fillId="4" borderId="72"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4" xfId="0" applyFont="1" applyFill="1" applyBorder="1" applyAlignment="1">
      <alignment horizontal="justify" vertical="top" wrapText="1"/>
    </xf>
    <xf numFmtId="0" fontId="5" fillId="24" borderId="6" xfId="0" applyFont="1" applyFill="1" applyBorder="1" applyAlignment="1">
      <alignment horizontal="center" vertical="top" wrapText="1"/>
    </xf>
    <xf numFmtId="0" fontId="5" fillId="24" borderId="64" xfId="0" applyFont="1" applyFill="1" applyBorder="1" applyAlignment="1">
      <alignment horizontal="left" vertical="top" wrapText="1"/>
    </xf>
    <xf numFmtId="0" fontId="5" fillId="24" borderId="64" xfId="0" applyFont="1" applyFill="1" applyBorder="1" applyAlignment="1">
      <alignment horizontal="center" vertical="top" wrapText="1"/>
    </xf>
    <xf numFmtId="0" fontId="41" fillId="0" borderId="0" xfId="0" applyFont="1"/>
    <xf numFmtId="0" fontId="48" fillId="20" borderId="60" xfId="0" applyFont="1" applyFill="1" applyBorder="1" applyAlignment="1">
      <alignment horizontal="center" vertical="center"/>
    </xf>
    <xf numFmtId="0" fontId="48" fillId="20" borderId="59" xfId="0" applyFont="1" applyFill="1" applyBorder="1" applyAlignment="1">
      <alignment horizontal="center" vertical="center"/>
    </xf>
    <xf numFmtId="0" fontId="43" fillId="20" borderId="109" xfId="0" applyFont="1" applyFill="1" applyBorder="1"/>
    <xf numFmtId="0" fontId="43" fillId="20" borderId="55" xfId="0" applyFont="1" applyFill="1" applyBorder="1"/>
    <xf numFmtId="0" fontId="43" fillId="20" borderId="22" xfId="0" applyFont="1" applyFill="1" applyBorder="1"/>
    <xf numFmtId="0" fontId="43" fillId="20" borderId="103" xfId="0" applyFont="1" applyFill="1" applyBorder="1"/>
    <xf numFmtId="0" fontId="43" fillId="20" borderId="80" xfId="0" applyFont="1" applyFill="1" applyBorder="1"/>
    <xf numFmtId="0" fontId="43" fillId="20" borderId="106" xfId="0" applyFont="1" applyFill="1" applyBorder="1"/>
    <xf numFmtId="0" fontId="43" fillId="20" borderId="105" xfId="0" applyFont="1" applyFill="1" applyBorder="1"/>
    <xf numFmtId="4" fontId="50" fillId="22" borderId="49" xfId="2" applyNumberFormat="1" applyFont="1" applyFill="1" applyBorder="1" applyAlignment="1">
      <alignment horizontal="right" vertical="top" wrapText="1"/>
    </xf>
    <xf numFmtId="4" fontId="50" fillId="22" borderId="41" xfId="2" applyNumberFormat="1" applyFont="1" applyFill="1" applyBorder="1" applyAlignment="1">
      <alignment horizontal="right" vertical="top" wrapText="1"/>
    </xf>
    <xf numFmtId="4" fontId="50" fillId="22" borderId="50" xfId="2" applyNumberFormat="1" applyFont="1" applyFill="1" applyBorder="1" applyAlignment="1">
      <alignment horizontal="right" vertical="top" wrapText="1"/>
    </xf>
    <xf numFmtId="4" fontId="50" fillId="22" borderId="96" xfId="2" applyNumberFormat="1" applyFont="1" applyFill="1" applyBorder="1" applyAlignment="1">
      <alignment horizontal="right" vertical="top" wrapText="1"/>
    </xf>
    <xf numFmtId="4" fontId="50" fillId="22" borderId="89" xfId="2" applyNumberFormat="1" applyFont="1" applyFill="1" applyBorder="1" applyAlignment="1">
      <alignment horizontal="right" vertical="top" wrapText="1"/>
    </xf>
    <xf numFmtId="4" fontId="50" fillId="22" borderId="99" xfId="2" applyNumberFormat="1" applyFont="1" applyFill="1" applyBorder="1" applyAlignment="1">
      <alignment horizontal="right" vertical="top" wrapText="1"/>
    </xf>
    <xf numFmtId="4" fontId="50" fillId="22" borderId="97" xfId="2" applyNumberFormat="1" applyFont="1" applyFill="1" applyBorder="1" applyAlignment="1">
      <alignment horizontal="right" vertical="top" wrapText="1"/>
    </xf>
    <xf numFmtId="4" fontId="50" fillId="22" borderId="45" xfId="2" applyNumberFormat="1" applyFont="1" applyFill="1" applyBorder="1" applyAlignment="1">
      <alignment horizontal="right" vertical="top" wrapText="1"/>
    </xf>
    <xf numFmtId="4" fontId="50" fillId="22" borderId="44" xfId="2" applyNumberFormat="1" applyFont="1" applyFill="1" applyBorder="1" applyAlignment="1">
      <alignment horizontal="right" vertical="top" wrapText="1"/>
    </xf>
    <xf numFmtId="4" fontId="49" fillId="22" borderId="26" xfId="1" applyNumberFormat="1" applyFont="1" applyFill="1" applyBorder="1" applyAlignment="1">
      <alignment horizontal="right" vertical="top" wrapText="1"/>
    </xf>
    <xf numFmtId="4" fontId="50" fillId="22" borderId="43" xfId="2" applyNumberFormat="1" applyFont="1" applyFill="1" applyBorder="1" applyAlignment="1">
      <alignment horizontal="right" vertical="top" wrapText="1"/>
    </xf>
    <xf numFmtId="4" fontId="50" fillId="22" borderId="98" xfId="2" applyNumberFormat="1" applyFont="1" applyFill="1" applyBorder="1" applyAlignment="1">
      <alignment horizontal="right" vertical="top" wrapText="1"/>
    </xf>
    <xf numFmtId="4" fontId="50" fillId="22" borderId="42" xfId="2" applyNumberFormat="1" applyFont="1" applyFill="1" applyBorder="1" applyAlignment="1">
      <alignment horizontal="right" vertical="top" wrapText="1"/>
    </xf>
    <xf numFmtId="165" fontId="50" fillId="22" borderId="100" xfId="5" applyNumberFormat="1" applyFont="1" applyFill="1" applyBorder="1" applyAlignment="1">
      <alignment horizontal="right" vertical="top" wrapText="1"/>
    </xf>
    <xf numFmtId="165" fontId="50" fillId="22" borderId="101" xfId="5" applyNumberFormat="1" applyFont="1" applyFill="1" applyBorder="1" applyAlignment="1">
      <alignment horizontal="right" vertical="top" wrapText="1"/>
    </xf>
    <xf numFmtId="165" fontId="50" fillId="22" borderId="102" xfId="5" applyNumberFormat="1" applyFont="1" applyFill="1" applyBorder="1" applyAlignment="1">
      <alignment horizontal="right" vertical="top" wrapText="1"/>
    </xf>
    <xf numFmtId="165" fontId="50" fillId="22" borderId="46" xfId="5" applyNumberFormat="1" applyFont="1" applyFill="1" applyBorder="1" applyAlignment="1">
      <alignment horizontal="right" vertical="top" wrapText="1"/>
    </xf>
    <xf numFmtId="165" fontId="50" fillId="22" borderId="47" xfId="5" applyNumberFormat="1" applyFont="1" applyFill="1" applyBorder="1" applyAlignment="1">
      <alignment horizontal="right" vertical="top" wrapText="1"/>
    </xf>
    <xf numFmtId="0" fontId="0" fillId="16" borderId="0" xfId="0" applyFill="1" applyAlignment="1">
      <alignment horizontal="center" vertical="top" wrapText="1"/>
    </xf>
    <xf numFmtId="0" fontId="0" fillId="16" borderId="6" xfId="0" applyFill="1" applyBorder="1" applyAlignment="1">
      <alignment horizontal="center" vertical="top" wrapText="1"/>
    </xf>
    <xf numFmtId="0" fontId="0" fillId="16" borderId="24" xfId="0" applyFill="1" applyBorder="1" applyAlignment="1">
      <alignment horizontal="center" vertical="top" wrapText="1"/>
    </xf>
    <xf numFmtId="3" fontId="0" fillId="0" borderId="0" xfId="0" applyNumberFormat="1"/>
    <xf numFmtId="0" fontId="54" fillId="0" borderId="0" xfId="0" applyFont="1"/>
    <xf numFmtId="6" fontId="0" fillId="0" borderId="0" xfId="0" applyNumberFormat="1"/>
    <xf numFmtId="0" fontId="54" fillId="0" borderId="130" xfId="0" applyFont="1" applyBorder="1"/>
    <xf numFmtId="0" fontId="57" fillId="25" borderId="130" xfId="0" applyFont="1" applyFill="1" applyBorder="1" applyAlignment="1">
      <alignment horizontal="left" vertical="center"/>
    </xf>
    <xf numFmtId="0" fontId="59" fillId="0" borderId="0" xfId="0" applyFont="1"/>
    <xf numFmtId="0" fontId="54" fillId="22" borderId="130" xfId="0" applyFont="1" applyFill="1" applyBorder="1"/>
    <xf numFmtId="14" fontId="54" fillId="22" borderId="130" xfId="0" applyNumberFormat="1" applyFont="1" applyFill="1" applyBorder="1"/>
    <xf numFmtId="0" fontId="54" fillId="0" borderId="0" xfId="0" applyFont="1" applyAlignment="1">
      <alignment horizontal="right"/>
    </xf>
    <xf numFmtId="0" fontId="62" fillId="0" borderId="0" xfId="8" applyFont="1" applyAlignment="1">
      <alignment vertical="center"/>
    </xf>
    <xf numFmtId="2" fontId="62" fillId="0" borderId="0" xfId="8" applyNumberFormat="1" applyFont="1" applyAlignment="1">
      <alignment horizontal="right" vertical="center"/>
    </xf>
    <xf numFmtId="2" fontId="62" fillId="0" borderId="0" xfId="8" applyNumberFormat="1" applyFont="1" applyAlignment="1">
      <alignment horizontal="center" vertical="center"/>
    </xf>
    <xf numFmtId="0" fontId="62" fillId="0" borderId="0" xfId="8" applyFont="1" applyAlignment="1">
      <alignment horizontal="center" vertical="center"/>
    </xf>
    <xf numFmtId="0" fontId="62" fillId="0" borderId="0" xfId="8" applyFont="1" applyAlignment="1">
      <alignment horizontal="left" vertical="center"/>
    </xf>
    <xf numFmtId="0" fontId="63" fillId="0" borderId="131" xfId="8" applyFont="1" applyBorder="1" applyAlignment="1">
      <alignment horizontal="left" vertical="center" wrapText="1"/>
    </xf>
    <xf numFmtId="2" fontId="63" fillId="0" borderId="131" xfId="8" applyNumberFormat="1" applyFont="1" applyBorder="1" applyAlignment="1">
      <alignment horizontal="right" vertical="center" wrapText="1"/>
    </xf>
    <xf numFmtId="2" fontId="63" fillId="0" borderId="131" xfId="8" applyNumberFormat="1" applyFont="1" applyBorder="1" applyAlignment="1">
      <alignment horizontal="center" vertical="center" wrapText="1"/>
    </xf>
    <xf numFmtId="0" fontId="63" fillId="0" borderId="131" xfId="8" applyFont="1" applyBorder="1" applyAlignment="1">
      <alignment horizontal="center" vertical="center" wrapText="1"/>
    </xf>
    <xf numFmtId="0" fontId="64" fillId="27" borderId="131" xfId="8" applyFont="1" applyFill="1" applyBorder="1" applyAlignment="1">
      <alignment horizontal="center" vertical="center" wrapText="1"/>
    </xf>
    <xf numFmtId="0" fontId="63" fillId="0" borderId="131" xfId="8" applyFont="1" applyBorder="1" applyAlignment="1">
      <alignment vertical="center"/>
    </xf>
    <xf numFmtId="0" fontId="63" fillId="26" borderId="131" xfId="8" applyFont="1" applyFill="1" applyBorder="1" applyAlignment="1">
      <alignment vertical="center"/>
    </xf>
    <xf numFmtId="0" fontId="63" fillId="0" borderId="131" xfId="8" applyFont="1" applyBorder="1" applyAlignment="1">
      <alignment vertical="center" wrapText="1"/>
    </xf>
    <xf numFmtId="0" fontId="63" fillId="26" borderId="131" xfId="8" applyFont="1" applyFill="1" applyBorder="1" applyAlignment="1">
      <alignment horizontal="left" vertical="center" wrapText="1"/>
    </xf>
    <xf numFmtId="0" fontId="63" fillId="0" borderId="0" xfId="8" applyFont="1" applyAlignment="1">
      <alignment vertical="center"/>
    </xf>
    <xf numFmtId="0" fontId="64" fillId="0" borderId="131" xfId="8" applyFont="1" applyBorder="1" applyAlignment="1">
      <alignment horizontal="center" vertical="center" wrapText="1"/>
    </xf>
    <xf numFmtId="0" fontId="63" fillId="0" borderId="135" xfId="8" applyFont="1" applyBorder="1" applyAlignment="1">
      <alignment vertical="center" wrapText="1"/>
    </xf>
    <xf numFmtId="0" fontId="63" fillId="0" borderId="136" xfId="8" applyFont="1" applyBorder="1" applyAlignment="1">
      <alignment vertical="center" wrapText="1"/>
    </xf>
    <xf numFmtId="0" fontId="66" fillId="0" borderId="0" xfId="8" applyFont="1" applyAlignment="1">
      <alignment horizontal="center" vertical="center"/>
    </xf>
    <xf numFmtId="0" fontId="64" fillId="26" borderId="131" xfId="8" applyFont="1" applyFill="1" applyBorder="1" applyAlignment="1">
      <alignment horizontal="center" vertical="center"/>
    </xf>
    <xf numFmtId="0" fontId="64" fillId="26" borderId="131" xfId="8" applyFont="1" applyFill="1" applyBorder="1" applyAlignment="1">
      <alignment horizontal="center" vertical="center" wrapText="1"/>
    </xf>
    <xf numFmtId="0" fontId="64" fillId="28" borderId="131" xfId="8" applyFont="1" applyFill="1" applyBorder="1" applyAlignment="1">
      <alignment horizontal="center" vertical="center" wrapText="1"/>
    </xf>
    <xf numFmtId="0" fontId="64" fillId="22" borderId="131" xfId="8" applyFont="1" applyFill="1" applyBorder="1" applyAlignment="1">
      <alignment horizontal="center" vertical="center" wrapText="1"/>
    </xf>
    <xf numFmtId="49" fontId="64" fillId="22" borderId="131" xfId="8" applyNumberFormat="1" applyFont="1" applyFill="1" applyBorder="1" applyAlignment="1">
      <alignment horizontal="center" vertical="center" wrapText="1"/>
    </xf>
    <xf numFmtId="0" fontId="64" fillId="29" borderId="131" xfId="8" applyFont="1" applyFill="1" applyBorder="1" applyAlignment="1">
      <alignment horizontal="center" vertical="center" wrapText="1"/>
    </xf>
    <xf numFmtId="0" fontId="62" fillId="0" borderId="0" xfId="8" applyFont="1" applyAlignment="1">
      <alignment vertical="center" wrapText="1"/>
    </xf>
    <xf numFmtId="0" fontId="61" fillId="0" borderId="0" xfId="8"/>
    <xf numFmtId="0" fontId="61" fillId="0" borderId="0" xfId="8" applyAlignment="1">
      <alignment wrapText="1"/>
    </xf>
    <xf numFmtId="0" fontId="62" fillId="0" borderId="0" xfId="8" applyFont="1"/>
    <xf numFmtId="1" fontId="62" fillId="22" borderId="130" xfId="8" applyNumberFormat="1" applyFont="1" applyFill="1" applyBorder="1"/>
    <xf numFmtId="0" fontId="62" fillId="22" borderId="130" xfId="8" applyFont="1" applyFill="1" applyBorder="1"/>
    <xf numFmtId="0" fontId="62" fillId="26" borderId="130" xfId="8" applyFont="1" applyFill="1" applyBorder="1"/>
    <xf numFmtId="170" fontId="62" fillId="26" borderId="130" xfId="8" applyNumberFormat="1" applyFont="1" applyFill="1" applyBorder="1"/>
    <xf numFmtId="170" fontId="62" fillId="22" borderId="130" xfId="8" applyNumberFormat="1" applyFont="1" applyFill="1" applyBorder="1"/>
    <xf numFmtId="0" fontId="61" fillId="0" borderId="130" xfId="8" applyBorder="1"/>
    <xf numFmtId="0" fontId="61" fillId="22" borderId="130" xfId="8" applyFill="1" applyBorder="1"/>
    <xf numFmtId="0" fontId="61" fillId="22" borderId="130" xfId="8" applyFill="1" applyBorder="1" applyAlignment="1">
      <alignment horizontal="center"/>
    </xf>
    <xf numFmtId="0" fontId="61" fillId="22" borderId="130" xfId="8" applyFill="1" applyBorder="1" applyAlignment="1">
      <alignment horizontal="left"/>
    </xf>
    <xf numFmtId="0" fontId="69" fillId="26" borderId="130" xfId="8" applyFont="1" applyFill="1" applyBorder="1" applyAlignment="1">
      <alignment vertical="top"/>
    </xf>
    <xf numFmtId="0" fontId="69" fillId="26" borderId="130" xfId="8" applyFont="1" applyFill="1" applyBorder="1" applyAlignment="1">
      <alignment horizontal="center" vertical="top"/>
    </xf>
    <xf numFmtId="0" fontId="69" fillId="26" borderId="130" xfId="8" applyFont="1" applyFill="1" applyBorder="1" applyAlignment="1">
      <alignment vertical="top" wrapText="1"/>
    </xf>
    <xf numFmtId="0" fontId="62" fillId="26" borderId="130" xfId="8" applyFont="1" applyFill="1" applyBorder="1" applyAlignment="1">
      <alignment wrapText="1"/>
    </xf>
    <xf numFmtId="1" fontId="61" fillId="22" borderId="130" xfId="8" applyNumberFormat="1" applyFill="1" applyBorder="1"/>
    <xf numFmtId="0" fontId="61" fillId="26" borderId="130" xfId="8" applyFill="1" applyBorder="1"/>
    <xf numFmtId="0" fontId="61" fillId="6" borderId="130" xfId="8" applyFill="1" applyBorder="1"/>
    <xf numFmtId="14" fontId="61" fillId="26" borderId="130" xfId="8" applyNumberFormat="1" applyFill="1" applyBorder="1"/>
    <xf numFmtId="1" fontId="61" fillId="0" borderId="0" xfId="8" applyNumberFormat="1"/>
    <xf numFmtId="0" fontId="68" fillId="30" borderId="130" xfId="8" applyFont="1" applyFill="1" applyBorder="1" applyAlignment="1">
      <alignment wrapText="1"/>
    </xf>
    <xf numFmtId="10" fontId="62" fillId="26" borderId="130" xfId="8" applyNumberFormat="1" applyFont="1" applyFill="1" applyBorder="1"/>
    <xf numFmtId="0" fontId="62" fillId="22" borderId="131" xfId="10" applyFont="1" applyFill="1" applyBorder="1" applyAlignment="1" applyProtection="1">
      <alignment vertical="center" wrapText="1"/>
      <protection locked="0"/>
    </xf>
    <xf numFmtId="10" fontId="54" fillId="22" borderId="131" xfId="0" applyNumberFormat="1" applyFont="1" applyFill="1" applyBorder="1"/>
    <xf numFmtId="0" fontId="54" fillId="15" borderId="131" xfId="0" applyFont="1" applyFill="1" applyBorder="1"/>
    <xf numFmtId="1" fontId="54" fillId="22" borderId="131" xfId="0" applyNumberFormat="1" applyFont="1" applyFill="1" applyBorder="1"/>
    <xf numFmtId="0" fontId="54" fillId="31" borderId="130" xfId="0" applyFont="1" applyFill="1" applyBorder="1" applyAlignment="1">
      <alignment vertical="center"/>
    </xf>
    <xf numFmtId="0" fontId="55" fillId="12" borderId="28" xfId="0" applyFont="1" applyFill="1" applyBorder="1" applyAlignment="1">
      <alignment horizontal="left" vertical="center"/>
    </xf>
    <xf numFmtId="0" fontId="55" fillId="12" borderId="130" xfId="0" applyFont="1" applyFill="1" applyBorder="1" applyAlignment="1">
      <alignment horizontal="left" vertical="center"/>
    </xf>
    <xf numFmtId="0" fontId="55" fillId="12" borderId="130" xfId="0" applyFont="1" applyFill="1" applyBorder="1" applyAlignment="1">
      <alignment horizontal="center" vertical="center"/>
    </xf>
    <xf numFmtId="44" fontId="56" fillId="18" borderId="130" xfId="7" applyFont="1" applyFill="1" applyBorder="1" applyAlignment="1" applyProtection="1">
      <alignment horizontal="center" vertical="center" wrapText="1"/>
    </xf>
    <xf numFmtId="1" fontId="59" fillId="31" borderId="0" xfId="0" applyNumberFormat="1" applyFont="1" applyFill="1"/>
    <xf numFmtId="1" fontId="59" fillId="6" borderId="0" xfId="0" applyNumberFormat="1" applyFont="1" applyFill="1"/>
    <xf numFmtId="42" fontId="59" fillId="31" borderId="0" xfId="0" applyNumberFormat="1" applyFont="1" applyFill="1"/>
    <xf numFmtId="44" fontId="59" fillId="0" borderId="0" xfId="0" applyNumberFormat="1" applyFont="1"/>
    <xf numFmtId="167" fontId="0" fillId="0" borderId="14" xfId="0" applyNumberFormat="1" applyBorder="1" applyAlignment="1">
      <alignment horizontal="center" vertical="center" wrapText="1"/>
    </xf>
    <xf numFmtId="167" fontId="0" fillId="0" borderId="23" xfId="0" applyNumberFormat="1" applyBorder="1" applyAlignment="1">
      <alignment horizontal="center" vertical="center" wrapText="1"/>
    </xf>
    <xf numFmtId="167" fontId="0" fillId="0" borderId="24" xfId="0" applyNumberFormat="1" applyBorder="1" applyAlignment="1">
      <alignment horizontal="center" vertical="center" wrapText="1"/>
    </xf>
    <xf numFmtId="167" fontId="0" fillId="0" borderId="0" xfId="0" applyNumberFormat="1" applyAlignment="1">
      <alignment horizontal="center" vertical="center" wrapText="1"/>
    </xf>
    <xf numFmtId="167" fontId="0" fillId="0" borderId="15" xfId="0" applyNumberFormat="1" applyBorder="1" applyAlignment="1">
      <alignment horizontal="center" vertical="center" wrapText="1"/>
    </xf>
    <xf numFmtId="167" fontId="0" fillId="0" borderId="26" xfId="0" applyNumberFormat="1" applyBorder="1" applyAlignment="1">
      <alignment horizontal="center" vertical="center" wrapText="1"/>
    </xf>
    <xf numFmtId="3" fontId="7" fillId="4" borderId="66" xfId="2" applyNumberFormat="1" applyBorder="1" applyAlignment="1">
      <alignment vertical="top" wrapText="1"/>
    </xf>
    <xf numFmtId="3" fontId="7" fillId="4" borderId="67" xfId="2" applyNumberFormat="1" applyBorder="1" applyAlignment="1">
      <alignment vertical="top" wrapText="1"/>
    </xf>
    <xf numFmtId="0" fontId="8" fillId="0" borderId="130" xfId="0" applyFont="1" applyBorder="1" applyAlignment="1">
      <alignment horizontal="center" vertical="center"/>
    </xf>
    <xf numFmtId="0" fontId="8" fillId="17" borderId="130" xfId="0" applyFont="1" applyFill="1" applyBorder="1"/>
    <xf numFmtId="42" fontId="8" fillId="17" borderId="130" xfId="5" applyNumberFormat="1" applyFont="1" applyFill="1" applyBorder="1" applyProtection="1"/>
    <xf numFmtId="0" fontId="8" fillId="0" borderId="130" xfId="0" applyFont="1" applyBorder="1"/>
    <xf numFmtId="0" fontId="8" fillId="20" borderId="130" xfId="0" applyFont="1" applyFill="1" applyBorder="1"/>
    <xf numFmtId="42" fontId="43" fillId="20" borderId="130" xfId="5" applyNumberFormat="1" applyFont="1" applyFill="1" applyBorder="1" applyProtection="1"/>
    <xf numFmtId="0" fontId="8" fillId="19" borderId="130" xfId="0" applyFont="1" applyFill="1" applyBorder="1"/>
    <xf numFmtId="0" fontId="0" fillId="19" borderId="130" xfId="0" applyFill="1" applyBorder="1"/>
    <xf numFmtId="42" fontId="47" fillId="20" borderId="130" xfId="5" applyNumberFormat="1" applyFont="1" applyFill="1" applyBorder="1" applyProtection="1"/>
    <xf numFmtId="42" fontId="46" fillId="17" borderId="130" xfId="5" applyNumberFormat="1" applyFont="1" applyFill="1" applyBorder="1" applyProtection="1"/>
    <xf numFmtId="42" fontId="29" fillId="0" borderId="130" xfId="5" applyNumberFormat="1" applyFont="1" applyFill="1" applyBorder="1" applyProtection="1"/>
    <xf numFmtId="42" fontId="47" fillId="0" borderId="130" xfId="5" applyNumberFormat="1" applyFont="1" applyFill="1" applyBorder="1" applyProtection="1"/>
    <xf numFmtId="0" fontId="0" fillId="0" borderId="130" xfId="0" applyBorder="1"/>
    <xf numFmtId="42" fontId="0" fillId="0" borderId="130" xfId="0" applyNumberFormat="1" applyBorder="1"/>
    <xf numFmtId="0" fontId="0" fillId="6" borderId="130" xfId="0" applyFill="1" applyBorder="1" applyAlignment="1">
      <alignment horizontal="center" vertical="top" wrapText="1"/>
    </xf>
    <xf numFmtId="0" fontId="30" fillId="17" borderId="130" xfId="0" applyFont="1" applyFill="1" applyBorder="1" applyAlignment="1">
      <alignment vertical="center"/>
    </xf>
    <xf numFmtId="165" fontId="29" fillId="0" borderId="130" xfId="5" applyNumberFormat="1" applyFont="1" applyFill="1" applyBorder="1" applyProtection="1"/>
    <xf numFmtId="165" fontId="47" fillId="0" borderId="130" xfId="5" applyNumberFormat="1" applyFont="1" applyFill="1" applyBorder="1" applyProtection="1"/>
    <xf numFmtId="42" fontId="47" fillId="18" borderId="130" xfId="5" applyNumberFormat="1" applyFont="1" applyFill="1" applyBorder="1" applyProtection="1"/>
    <xf numFmtId="42" fontId="47" fillId="18" borderId="130" xfId="5" applyNumberFormat="1" applyFont="1" applyFill="1" applyBorder="1" applyAlignment="1" applyProtection="1">
      <alignment horizontal="left"/>
    </xf>
    <xf numFmtId="42" fontId="47" fillId="26" borderId="130" xfId="5" applyNumberFormat="1" applyFont="1" applyFill="1" applyBorder="1" applyProtection="1"/>
    <xf numFmtId="42" fontId="47" fillId="26" borderId="130" xfId="5" applyNumberFormat="1" applyFont="1" applyFill="1" applyBorder="1" applyAlignment="1" applyProtection="1">
      <alignment horizontal="center"/>
    </xf>
    <xf numFmtId="42" fontId="47" fillId="24" borderId="130" xfId="5" applyNumberFormat="1" applyFont="1" applyFill="1" applyBorder="1" applyAlignment="1" applyProtection="1">
      <alignment horizontal="left"/>
    </xf>
    <xf numFmtId="42" fontId="47" fillId="24" borderId="130" xfId="5" applyNumberFormat="1" applyFont="1" applyFill="1" applyBorder="1" applyProtection="1"/>
    <xf numFmtId="0" fontId="57" fillId="25" borderId="139" xfId="0" applyFont="1" applyFill="1" applyBorder="1" applyAlignment="1">
      <alignment horizontal="center" wrapText="1"/>
    </xf>
    <xf numFmtId="0" fontId="57" fillId="25" borderId="130" xfId="0" applyFont="1" applyFill="1" applyBorder="1" applyAlignment="1">
      <alignment vertical="center" wrapText="1"/>
    </xf>
    <xf numFmtId="0" fontId="57" fillId="25" borderId="130" xfId="0" applyFont="1" applyFill="1" applyBorder="1" applyAlignment="1">
      <alignment horizontal="center" wrapText="1"/>
    </xf>
    <xf numFmtId="0" fontId="54" fillId="0" borderId="0" xfId="0" applyFont="1" applyAlignment="1">
      <alignment wrapText="1"/>
    </xf>
    <xf numFmtId="0" fontId="63" fillId="22" borderId="131" xfId="8" applyFont="1" applyFill="1" applyBorder="1" applyAlignment="1">
      <alignment horizontal="left" vertical="center" wrapText="1"/>
    </xf>
    <xf numFmtId="0" fontId="68" fillId="26" borderId="130" xfId="8" applyFont="1" applyFill="1" applyBorder="1" applyAlignment="1">
      <alignment horizontal="center" vertical="center"/>
    </xf>
    <xf numFmtId="1" fontId="54" fillId="22" borderId="130" xfId="0" applyNumberFormat="1" applyFont="1" applyFill="1" applyBorder="1"/>
    <xf numFmtId="42" fontId="54" fillId="22" borderId="130" xfId="0" applyNumberFormat="1" applyFont="1" applyFill="1" applyBorder="1" applyAlignment="1">
      <alignment horizontal="center"/>
    </xf>
    <xf numFmtId="42" fontId="54" fillId="22" borderId="130" xfId="0" applyNumberFormat="1" applyFont="1" applyFill="1" applyBorder="1"/>
    <xf numFmtId="1" fontId="55" fillId="32" borderId="130" xfId="0" applyNumberFormat="1" applyFont="1" applyFill="1" applyBorder="1" applyAlignment="1">
      <alignment horizontal="center" vertical="center"/>
    </xf>
    <xf numFmtId="169" fontId="55" fillId="32" borderId="130" xfId="0" applyNumberFormat="1" applyFont="1" applyFill="1" applyBorder="1" applyAlignment="1">
      <alignment horizontal="center" vertical="center"/>
    </xf>
    <xf numFmtId="2" fontId="55" fillId="32" borderId="130" xfId="0" applyNumberFormat="1" applyFont="1" applyFill="1" applyBorder="1" applyAlignment="1">
      <alignment horizontal="center" vertical="center"/>
    </xf>
    <xf numFmtId="0" fontId="55" fillId="32" borderId="130" xfId="0" applyFont="1" applyFill="1" applyBorder="1" applyAlignment="1">
      <alignment vertical="center" wrapText="1"/>
    </xf>
    <xf numFmtId="0" fontId="55" fillId="32" borderId="130" xfId="0" applyFont="1" applyFill="1" applyBorder="1" applyAlignment="1">
      <alignment horizontal="center" vertical="center" wrapText="1"/>
    </xf>
    <xf numFmtId="169" fontId="54" fillId="22" borderId="130" xfId="0" applyNumberFormat="1" applyFont="1" applyFill="1" applyBorder="1"/>
    <xf numFmtId="10" fontId="55" fillId="32" borderId="130" xfId="0" applyNumberFormat="1" applyFont="1" applyFill="1" applyBorder="1" applyAlignment="1">
      <alignment horizontal="center" vertical="center"/>
    </xf>
    <xf numFmtId="0" fontId="62" fillId="0" borderId="0" xfId="8" applyFont="1" applyAlignment="1">
      <alignment wrapText="1"/>
    </xf>
    <xf numFmtId="0" fontId="64" fillId="30" borderId="130" xfId="8" applyFont="1" applyFill="1" applyBorder="1" applyAlignment="1">
      <alignment vertical="center" wrapText="1"/>
    </xf>
    <xf numFmtId="0" fontId="64" fillId="30" borderId="130" xfId="8" applyFont="1" applyFill="1" applyBorder="1" applyAlignment="1">
      <alignment horizontal="center" vertical="center" wrapText="1"/>
    </xf>
    <xf numFmtId="0" fontId="0" fillId="0" borderId="8" xfId="0" applyBorder="1" applyAlignment="1">
      <alignment horizontal="center" vertical="top" wrapText="1"/>
    </xf>
    <xf numFmtId="0" fontId="0" fillId="0" borderId="74" xfId="0" applyBorder="1" applyAlignment="1">
      <alignment horizontal="center" vertical="top" wrapText="1"/>
    </xf>
    <xf numFmtId="0" fontId="0" fillId="0" borderId="9" xfId="0" applyBorder="1" applyAlignment="1">
      <alignment horizontal="center" vertical="top" wrapText="1"/>
    </xf>
    <xf numFmtId="1" fontId="60" fillId="22" borderId="130" xfId="0" applyNumberFormat="1" applyFont="1" applyFill="1" applyBorder="1" applyAlignment="1">
      <alignment horizontal="center" vertical="center"/>
    </xf>
    <xf numFmtId="169" fontId="60" fillId="22" borderId="130" xfId="0" applyNumberFormat="1" applyFont="1" applyFill="1" applyBorder="1" applyAlignment="1">
      <alignment horizontal="right" vertical="center"/>
    </xf>
    <xf numFmtId="0" fontId="57" fillId="25" borderId="139" xfId="0" applyFont="1" applyFill="1" applyBorder="1" applyAlignment="1">
      <alignment horizontal="center" vertical="center" wrapText="1"/>
    </xf>
    <xf numFmtId="0" fontId="57" fillId="25" borderId="139" xfId="0" applyFont="1" applyFill="1" applyBorder="1" applyAlignment="1">
      <alignment horizontal="left" vertical="center" wrapText="1"/>
    </xf>
    <xf numFmtId="169" fontId="62" fillId="22" borderId="131" xfId="10" applyNumberFormat="1" applyFont="1" applyFill="1" applyBorder="1" applyAlignment="1">
      <alignment vertical="center" wrapText="1"/>
    </xf>
    <xf numFmtId="1" fontId="59" fillId="0" borderId="0" xfId="0" applyNumberFormat="1" applyFont="1"/>
    <xf numFmtId="169" fontId="54" fillId="22" borderId="130" xfId="0" applyNumberFormat="1" applyFont="1" applyFill="1" applyBorder="1" applyAlignment="1">
      <alignment horizontal="center" vertical="center"/>
    </xf>
    <xf numFmtId="42" fontId="60" fillId="22" borderId="130" xfId="0" applyNumberFormat="1" applyFont="1" applyFill="1" applyBorder="1" applyAlignment="1">
      <alignment horizontal="center" vertical="center"/>
    </xf>
    <xf numFmtId="169" fontId="62" fillId="22" borderId="131" xfId="10" applyNumberFormat="1" applyFont="1" applyFill="1" applyBorder="1" applyAlignment="1" applyProtection="1">
      <alignment vertical="center" wrapText="1"/>
      <protection locked="0"/>
    </xf>
    <xf numFmtId="42" fontId="54" fillId="0" borderId="0" xfId="0" applyNumberFormat="1" applyFont="1"/>
    <xf numFmtId="1" fontId="62" fillId="26" borderId="130" xfId="8" applyNumberFormat="1" applyFont="1" applyFill="1" applyBorder="1"/>
    <xf numFmtId="1" fontId="66" fillId="22" borderId="0" xfId="8" applyNumberFormat="1" applyFont="1" applyFill="1"/>
    <xf numFmtId="0" fontId="74" fillId="0" borderId="0" xfId="0" applyFont="1" applyAlignment="1">
      <alignment wrapText="1"/>
    </xf>
    <xf numFmtId="0" fontId="73" fillId="33" borderId="135" xfId="0" applyFont="1" applyFill="1" applyBorder="1" applyAlignment="1">
      <alignment horizontal="center" vertical="center" wrapText="1"/>
    </xf>
    <xf numFmtId="0" fontId="73" fillId="33" borderId="135" xfId="0" applyFont="1" applyFill="1" applyBorder="1" applyAlignment="1">
      <alignment wrapText="1"/>
    </xf>
    <xf numFmtId="0" fontId="74" fillId="10" borderId="135" xfId="0" applyFont="1" applyFill="1" applyBorder="1"/>
    <xf numFmtId="42" fontId="74" fillId="22" borderId="135" xfId="0" applyNumberFormat="1" applyFont="1" applyFill="1" applyBorder="1"/>
    <xf numFmtId="9" fontId="74" fillId="22" borderId="135" xfId="0" applyNumberFormat="1" applyFont="1" applyFill="1" applyBorder="1"/>
    <xf numFmtId="169" fontId="74" fillId="22" borderId="135" xfId="0" applyNumberFormat="1" applyFont="1" applyFill="1" applyBorder="1"/>
    <xf numFmtId="0" fontId="74" fillId="0" borderId="0" xfId="0" applyFont="1"/>
    <xf numFmtId="169" fontId="74" fillId="10" borderId="135" xfId="0" applyNumberFormat="1" applyFont="1" applyFill="1" applyBorder="1" applyAlignment="1">
      <alignment vertical="center"/>
    </xf>
    <xf numFmtId="42" fontId="74" fillId="0" borderId="135" xfId="0" applyNumberFormat="1" applyFont="1" applyBorder="1"/>
    <xf numFmtId="0" fontId="74" fillId="0" borderId="135" xfId="0" applyFont="1" applyBorder="1"/>
    <xf numFmtId="0" fontId="75" fillId="15" borderId="22" xfId="0" applyFont="1" applyFill="1" applyBorder="1"/>
    <xf numFmtId="0" fontId="76" fillId="19" borderId="104" xfId="6" applyFont="1" applyFill="1" applyBorder="1" applyAlignment="1">
      <alignment vertical="center"/>
    </xf>
    <xf numFmtId="0" fontId="76" fillId="19" borderId="22" xfId="6" applyFont="1" applyFill="1" applyBorder="1" applyAlignment="1">
      <alignment vertical="center"/>
    </xf>
    <xf numFmtId="0" fontId="8" fillId="9" borderId="124" xfId="0" applyFont="1" applyFill="1" applyBorder="1"/>
    <xf numFmtId="0" fontId="0" fillId="34" borderId="104" xfId="0" applyFill="1" applyBorder="1"/>
    <xf numFmtId="0" fontId="0" fillId="6" borderId="104"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7" fillId="25" borderId="130" xfId="0" applyFont="1" applyFill="1" applyBorder="1" applyAlignment="1">
      <alignment vertical="center"/>
    </xf>
    <xf numFmtId="0" fontId="63" fillId="26" borderId="131" xfId="8" applyFont="1" applyFill="1" applyBorder="1" applyAlignment="1">
      <alignment vertical="center" wrapText="1"/>
    </xf>
    <xf numFmtId="0" fontId="64" fillId="26" borderId="131" xfId="8" applyFont="1" applyFill="1" applyBorder="1" applyAlignment="1">
      <alignment horizontal="left" vertical="center" wrapText="1"/>
    </xf>
    <xf numFmtId="0" fontId="0" fillId="26" borderId="130" xfId="0" applyFill="1" applyBorder="1"/>
    <xf numFmtId="167" fontId="13" fillId="26" borderId="78" xfId="5" applyNumberFormat="1" applyFont="1" applyFill="1" applyBorder="1" applyAlignment="1" applyProtection="1">
      <alignment horizontal="center" vertical="center" wrapText="1"/>
    </xf>
    <xf numFmtId="167" fontId="13" fillId="26" borderId="51" xfId="5" applyNumberFormat="1" applyFont="1" applyFill="1" applyBorder="1" applyAlignment="1" applyProtection="1">
      <alignment horizontal="center" vertical="center" wrapText="1"/>
    </xf>
    <xf numFmtId="167" fontId="13" fillId="26" borderId="40" xfId="5" applyNumberFormat="1" applyFont="1" applyFill="1" applyBorder="1" applyAlignment="1" applyProtection="1">
      <alignment horizontal="center" vertical="center" wrapText="1"/>
    </xf>
    <xf numFmtId="167" fontId="13" fillId="26" borderId="17" xfId="5" applyNumberFormat="1" applyFont="1" applyFill="1" applyBorder="1" applyAlignment="1" applyProtection="1">
      <alignment horizontal="center" vertical="center" wrapText="1"/>
    </xf>
    <xf numFmtId="167" fontId="13" fillId="26" borderId="79" xfId="5" applyNumberFormat="1" applyFont="1" applyFill="1" applyBorder="1" applyAlignment="1" applyProtection="1">
      <alignment horizontal="center" vertical="center" wrapText="1"/>
    </xf>
    <xf numFmtId="167" fontId="13" fillId="26" borderId="52" xfId="5" applyNumberFormat="1" applyFont="1" applyFill="1" applyBorder="1" applyAlignment="1" applyProtection="1">
      <alignment horizontal="center" vertical="center" wrapText="1"/>
    </xf>
    <xf numFmtId="168" fontId="13" fillId="26" borderId="78" xfId="3" applyNumberFormat="1" applyFont="1" applyFill="1" applyBorder="1" applyAlignment="1" applyProtection="1">
      <alignment horizontal="center" vertical="center" wrapText="1"/>
    </xf>
    <xf numFmtId="168" fontId="13" fillId="26" borderId="51" xfId="3" applyNumberFormat="1" applyFont="1" applyFill="1" applyBorder="1" applyAlignment="1" applyProtection="1">
      <alignment horizontal="center" vertical="center" wrapText="1"/>
    </xf>
    <xf numFmtId="168" fontId="13" fillId="26" borderId="40" xfId="3" applyNumberFormat="1" applyFont="1" applyFill="1" applyBorder="1" applyAlignment="1" applyProtection="1">
      <alignment horizontal="center" vertical="center" wrapText="1"/>
    </xf>
    <xf numFmtId="168" fontId="13" fillId="26" borderId="17" xfId="3" applyNumberFormat="1" applyFont="1" applyFill="1" applyAlignment="1" applyProtection="1">
      <alignment horizontal="center" vertical="center" wrapText="1"/>
    </xf>
    <xf numFmtId="168" fontId="13" fillId="26" borderId="79" xfId="3" applyNumberFormat="1" applyFont="1" applyFill="1" applyBorder="1" applyAlignment="1" applyProtection="1">
      <alignment horizontal="center" vertical="center" wrapText="1"/>
    </xf>
    <xf numFmtId="168" fontId="13" fillId="26" borderId="52" xfId="3" applyNumberFormat="1" applyFont="1" applyFill="1" applyBorder="1" applyAlignment="1" applyProtection="1">
      <alignment horizontal="center" vertical="center" wrapText="1"/>
    </xf>
    <xf numFmtId="0" fontId="54" fillId="26" borderId="130" xfId="0" applyFont="1" applyFill="1" applyBorder="1"/>
    <xf numFmtId="10" fontId="54" fillId="26" borderId="130" xfId="0" applyNumberFormat="1" applyFont="1" applyFill="1" applyBorder="1"/>
    <xf numFmtId="9" fontId="54" fillId="26" borderId="130" xfId="0" applyNumberFormat="1" applyFont="1" applyFill="1" applyBorder="1"/>
    <xf numFmtId="169" fontId="62" fillId="26" borderId="131" xfId="10" applyNumberFormat="1" applyFont="1" applyFill="1" applyBorder="1" applyAlignment="1" applyProtection="1">
      <alignment horizontal="center" vertical="center"/>
      <protection locked="0"/>
    </xf>
    <xf numFmtId="1" fontId="54" fillId="26" borderId="130" xfId="0" applyNumberFormat="1" applyFont="1" applyFill="1" applyBorder="1"/>
    <xf numFmtId="1" fontId="62" fillId="26" borderId="131" xfId="10" applyNumberFormat="1" applyFont="1" applyFill="1" applyBorder="1" applyAlignment="1" applyProtection="1">
      <alignment horizontal="center" vertical="center" wrapText="1"/>
      <protection locked="0"/>
    </xf>
    <xf numFmtId="0" fontId="62" fillId="26" borderId="131" xfId="10" applyFont="1" applyFill="1" applyBorder="1" applyAlignment="1" applyProtection="1">
      <alignment vertical="center" wrapText="1"/>
      <protection locked="0"/>
    </xf>
    <xf numFmtId="0" fontId="54" fillId="26" borderId="130" xfId="0" applyFont="1" applyFill="1" applyBorder="1" applyAlignment="1">
      <alignment vertical="center"/>
    </xf>
    <xf numFmtId="0" fontId="54" fillId="26" borderId="130" xfId="3" applyFont="1" applyFill="1" applyBorder="1" applyAlignment="1">
      <alignment horizontal="center"/>
    </xf>
    <xf numFmtId="0" fontId="54" fillId="26" borderId="140" xfId="0" applyFont="1" applyFill="1" applyBorder="1" applyAlignment="1">
      <alignment horizontal="left" vertical="center"/>
    </xf>
    <xf numFmtId="0" fontId="54" fillId="26" borderId="130" xfId="0" applyFont="1" applyFill="1" applyBorder="1" applyAlignment="1">
      <alignment horizontal="left" vertical="center"/>
    </xf>
    <xf numFmtId="0" fontId="54" fillId="26" borderId="130" xfId="0" applyFont="1" applyFill="1" applyBorder="1" applyAlignment="1">
      <alignment horizontal="center" vertical="center"/>
    </xf>
    <xf numFmtId="8" fontId="54" fillId="26" borderId="130" xfId="7" applyNumberFormat="1" applyFont="1" applyFill="1" applyBorder="1" applyAlignment="1">
      <alignment horizontal="center" vertical="center"/>
    </xf>
    <xf numFmtId="0" fontId="54" fillId="26" borderId="141" xfId="0" applyFont="1" applyFill="1" applyBorder="1" applyAlignment="1">
      <alignment horizontal="left" vertical="center"/>
    </xf>
    <xf numFmtId="44" fontId="54" fillId="26" borderId="130" xfId="7" applyFont="1" applyFill="1" applyBorder="1" applyAlignment="1">
      <alignment horizontal="center" vertical="center"/>
    </xf>
    <xf numFmtId="44" fontId="54" fillId="26" borderId="130"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9" fillId="0" borderId="23" xfId="0" applyFont="1" applyBorder="1" applyAlignment="1">
      <alignment vertical="center" wrapText="1"/>
    </xf>
    <xf numFmtId="0" fontId="19" fillId="0" borderId="0" xfId="0" applyFont="1" applyAlignment="1">
      <alignment vertical="center" wrapText="1"/>
    </xf>
    <xf numFmtId="3" fontId="13" fillId="9" borderId="78" xfId="3" applyNumberFormat="1" applyFont="1" applyFill="1" applyBorder="1" applyAlignment="1">
      <alignment vertical="top" wrapText="1"/>
    </xf>
    <xf numFmtId="3" fontId="13" fillId="9" borderId="40" xfId="3" applyNumberFormat="1" applyFont="1" applyFill="1" applyBorder="1" applyAlignment="1">
      <alignment vertical="top" wrapText="1"/>
    </xf>
    <xf numFmtId="3" fontId="13" fillId="9" borderId="79" xfId="3" applyNumberFormat="1" applyFont="1" applyFill="1" applyBorder="1" applyAlignment="1">
      <alignment vertical="top" wrapText="1"/>
    </xf>
    <xf numFmtId="3" fontId="13" fillId="26" borderId="78" xfId="3" applyNumberFormat="1" applyFont="1" applyFill="1" applyBorder="1" applyAlignment="1">
      <alignment vertical="top" wrapText="1"/>
    </xf>
    <xf numFmtId="3" fontId="13" fillId="26" borderId="40" xfId="3" applyNumberFormat="1" applyFont="1" applyFill="1" applyBorder="1" applyAlignment="1">
      <alignment vertical="top" wrapText="1"/>
    </xf>
    <xf numFmtId="3" fontId="13" fillId="26" borderId="78" xfId="3" applyNumberFormat="1" applyFont="1" applyFill="1" applyBorder="1" applyAlignment="1">
      <alignment horizontal="right" vertical="top" wrapText="1"/>
    </xf>
    <xf numFmtId="3" fontId="13" fillId="26" borderId="40" xfId="3" applyNumberFormat="1" applyFont="1" applyFill="1" applyBorder="1" applyAlignment="1">
      <alignment horizontal="right" vertical="top" wrapText="1"/>
    </xf>
    <xf numFmtId="3" fontId="13" fillId="26" borderId="79" xfId="3" applyNumberFormat="1" applyFont="1" applyFill="1" applyBorder="1" applyAlignment="1">
      <alignment horizontal="right" vertical="top" wrapText="1"/>
    </xf>
    <xf numFmtId="3" fontId="13" fillId="26" borderId="79" xfId="3" applyNumberFormat="1" applyFont="1" applyFill="1" applyBorder="1" applyAlignment="1">
      <alignment vertical="top" wrapText="1"/>
    </xf>
    <xf numFmtId="3" fontId="13" fillId="9" borderId="142" xfId="3" applyNumberFormat="1" applyFont="1" applyFill="1" applyBorder="1" applyAlignment="1">
      <alignment horizontal="right" vertical="top" wrapText="1"/>
    </xf>
    <xf numFmtId="3" fontId="13" fillId="9" borderId="117" xfId="3" applyNumberFormat="1" applyFont="1" applyFill="1" applyBorder="1" applyAlignment="1">
      <alignment horizontal="right" vertical="top" wrapText="1"/>
    </xf>
    <xf numFmtId="3" fontId="13" fillId="9" borderId="40" xfId="3" applyNumberFormat="1" applyFont="1" applyFill="1" applyBorder="1" applyAlignment="1">
      <alignment horizontal="right" vertical="top" wrapText="1"/>
    </xf>
    <xf numFmtId="3" fontId="13" fillId="9" borderId="78" xfId="3" applyNumberFormat="1" applyFont="1" applyFill="1" applyBorder="1" applyAlignment="1">
      <alignment horizontal="right" vertical="top" wrapText="1"/>
    </xf>
    <xf numFmtId="3" fontId="13" fillId="9" borderId="94"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2" fontId="3" fillId="26" borderId="74" xfId="1" applyNumberFormat="1" applyFont="1" applyFill="1" applyBorder="1" applyAlignment="1">
      <alignment vertical="top" wrapText="1"/>
    </xf>
    <xf numFmtId="2" fontId="3" fillId="26" borderId="64"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3" fillId="26" borderId="30" xfId="3" applyFont="1" applyFill="1" applyBorder="1" applyAlignment="1">
      <alignment vertical="top"/>
    </xf>
    <xf numFmtId="0" fontId="0" fillId="0" borderId="22" xfId="0" applyBorder="1"/>
    <xf numFmtId="0" fontId="79" fillId="19" borderId="22" xfId="6" applyFont="1" applyFill="1" applyBorder="1" applyAlignment="1">
      <alignment vertical="center"/>
    </xf>
    <xf numFmtId="171" fontId="62" fillId="26" borderId="131" xfId="10" applyNumberFormat="1" applyFont="1" applyFill="1" applyBorder="1" applyAlignment="1" applyProtection="1">
      <alignment horizontal="center" vertical="center"/>
      <protection locked="0"/>
    </xf>
    <xf numFmtId="171" fontId="62" fillId="26" borderId="131" xfId="10" applyNumberFormat="1" applyFont="1" applyFill="1" applyBorder="1" applyAlignment="1" applyProtection="1">
      <alignment horizontal="center" vertical="center" wrapText="1"/>
      <protection locked="0"/>
    </xf>
    <xf numFmtId="0" fontId="59" fillId="0" borderId="0" xfId="0" applyFont="1" applyAlignment="1">
      <alignment horizontal="center" vertical="center"/>
    </xf>
    <xf numFmtId="171" fontId="62" fillId="22" borderId="131" xfId="10" applyNumberFormat="1" applyFont="1" applyFill="1" applyBorder="1" applyAlignment="1" applyProtection="1">
      <alignment horizontal="center" vertical="center"/>
      <protection locked="0"/>
    </xf>
    <xf numFmtId="9" fontId="54" fillId="0" borderId="130" xfId="0" applyNumberFormat="1" applyFont="1" applyBorder="1"/>
    <xf numFmtId="1" fontId="54" fillId="0" borderId="130" xfId="0" applyNumberFormat="1" applyFont="1" applyBorder="1"/>
    <xf numFmtId="42" fontId="54" fillId="0" borderId="130" xfId="0" applyNumberFormat="1" applyFont="1" applyBorder="1" applyAlignment="1">
      <alignment horizontal="center"/>
    </xf>
    <xf numFmtId="0" fontId="61" fillId="30" borderId="130" xfId="8" applyFill="1" applyBorder="1" applyAlignment="1">
      <alignment horizontal="center" vertical="center"/>
    </xf>
    <xf numFmtId="0" fontId="69" fillId="30" borderId="130" xfId="8" applyFont="1" applyFill="1" applyBorder="1" applyAlignment="1">
      <alignment horizontal="left" vertical="center" wrapText="1"/>
    </xf>
    <xf numFmtId="0" fontId="69" fillId="13" borderId="130" xfId="8" applyFont="1" applyFill="1" applyBorder="1" applyAlignment="1">
      <alignment horizontal="center" vertical="center"/>
    </xf>
    <xf numFmtId="0" fontId="70" fillId="26" borderId="130" xfId="8" applyFont="1" applyFill="1" applyBorder="1" applyAlignment="1">
      <alignment horizontal="center" vertical="center"/>
    </xf>
    <xf numFmtId="0" fontId="70" fillId="22" borderId="130" xfId="8" applyFont="1" applyFill="1" applyBorder="1" applyAlignment="1">
      <alignment horizontal="center" vertical="center"/>
    </xf>
    <xf numFmtId="0" fontId="61" fillId="22" borderId="0" xfId="8" applyFill="1"/>
    <xf numFmtId="0" fontId="61" fillId="30" borderId="0" xfId="8" applyFill="1"/>
    <xf numFmtId="0" fontId="61" fillId="30" borderId="130" xfId="8" applyFill="1" applyBorder="1" applyAlignment="1">
      <alignment horizontal="center" vertical="top"/>
    </xf>
    <xf numFmtId="0" fontId="69" fillId="30" borderId="130" xfId="8" applyFont="1" applyFill="1" applyBorder="1" applyAlignment="1">
      <alignment vertical="top" wrapText="1"/>
    </xf>
    <xf numFmtId="0" fontId="68" fillId="22" borderId="64" xfId="8" applyFont="1" applyFill="1" applyBorder="1"/>
    <xf numFmtId="0" fontId="68" fillId="22" borderId="0" xfId="8" applyFont="1" applyFill="1"/>
    <xf numFmtId="0" fontId="61" fillId="30" borderId="147" xfId="8" applyFill="1" applyBorder="1" applyAlignment="1">
      <alignment horizontal="center" vertical="center"/>
    </xf>
    <xf numFmtId="0" fontId="69" fillId="13" borderId="130" xfId="8" applyFont="1" applyFill="1" applyBorder="1" applyAlignment="1">
      <alignment horizontal="left" vertical="top" wrapText="1"/>
    </xf>
    <xf numFmtId="0" fontId="62" fillId="0" borderId="0" xfId="0" applyFont="1" applyAlignment="1">
      <alignment horizontal="left" vertical="top" wrapText="1"/>
    </xf>
    <xf numFmtId="0" fontId="68" fillId="30" borderId="143" xfId="8" applyFont="1" applyFill="1" applyBorder="1" applyAlignment="1">
      <alignment horizontal="left" vertical="top" wrapText="1"/>
    </xf>
    <xf numFmtId="0" fontId="68" fillId="30" borderId="139" xfId="8" applyFont="1" applyFill="1" applyBorder="1" applyAlignment="1">
      <alignment horizontal="left" vertical="top" wrapText="1"/>
    </xf>
    <xf numFmtId="0" fontId="68" fillId="30" borderId="143" xfId="8" applyFont="1" applyFill="1" applyBorder="1" applyAlignment="1">
      <alignment vertical="top" wrapText="1"/>
    </xf>
    <xf numFmtId="0" fontId="68" fillId="30" borderId="144" xfId="8" applyFont="1" applyFill="1" applyBorder="1" applyAlignment="1">
      <alignment vertical="top" wrapText="1"/>
    </xf>
    <xf numFmtId="0" fontId="68" fillId="0" borderId="0" xfId="8" applyFont="1"/>
    <xf numFmtId="9" fontId="74" fillId="15" borderId="135" xfId="0" applyNumberFormat="1" applyFont="1" applyFill="1" applyBorder="1"/>
    <xf numFmtId="2" fontId="54" fillId="26" borderId="130" xfId="0" applyNumberFormat="1" applyFont="1" applyFill="1" applyBorder="1"/>
    <xf numFmtId="169" fontId="62" fillId="26" borderId="131" xfId="10" applyNumberFormat="1" applyFont="1" applyFill="1" applyBorder="1" applyAlignment="1" applyProtection="1">
      <alignment horizontal="left" vertical="center"/>
      <protection locked="0"/>
    </xf>
    <xf numFmtId="10" fontId="59" fillId="31" borderId="0" xfId="0" applyNumberFormat="1" applyFont="1" applyFill="1"/>
    <xf numFmtId="42" fontId="74" fillId="15" borderId="135" xfId="0" applyNumberFormat="1" applyFont="1" applyFill="1" applyBorder="1"/>
    <xf numFmtId="169" fontId="82" fillId="0" borderId="135" xfId="0" applyNumberFormat="1" applyFont="1" applyBorder="1"/>
    <xf numFmtId="0" fontId="62" fillId="0" borderId="0" xfId="10" applyFont="1" applyAlignment="1" applyProtection="1">
      <alignment vertical="center" wrapText="1"/>
      <protection locked="0"/>
    </xf>
    <xf numFmtId="0" fontId="83" fillId="0" borderId="0" xfId="0" applyFont="1"/>
    <xf numFmtId="0" fontId="83" fillId="0" borderId="0" xfId="0" applyFont="1" applyAlignment="1">
      <alignment vertical="center"/>
    </xf>
    <xf numFmtId="0" fontId="83" fillId="0" borderId="0" xfId="0" applyFont="1" applyAlignment="1">
      <alignment horizontal="left" vertical="center"/>
    </xf>
    <xf numFmtId="0" fontId="83" fillId="0" borderId="0" xfId="0" applyFont="1" applyAlignment="1">
      <alignment horizontal="right" vertical="center" wrapText="1"/>
    </xf>
    <xf numFmtId="0" fontId="83" fillId="0" borderId="0" xfId="0" applyFont="1" applyAlignment="1">
      <alignment horizontal="right" wrapText="1"/>
    </xf>
    <xf numFmtId="0" fontId="59" fillId="31" borderId="0" xfId="0" applyFont="1" applyFill="1" applyAlignment="1">
      <alignment wrapText="1"/>
    </xf>
    <xf numFmtId="0" fontId="59" fillId="31" borderId="148" xfId="0" applyFont="1" applyFill="1" applyBorder="1" applyAlignment="1">
      <alignment wrapText="1"/>
    </xf>
    <xf numFmtId="0" fontId="59" fillId="26" borderId="0" xfId="0" applyFont="1" applyFill="1" applyAlignment="1">
      <alignment vertical="center"/>
    </xf>
    <xf numFmtId="10" fontId="59" fillId="26" borderId="148" xfId="0" applyNumberFormat="1" applyFont="1" applyFill="1" applyBorder="1" applyAlignment="1">
      <alignment vertical="center"/>
    </xf>
    <xf numFmtId="170" fontId="54" fillId="22" borderId="130" xfId="0" applyNumberFormat="1" applyFont="1" applyFill="1" applyBorder="1" applyAlignment="1">
      <alignment horizontal="center"/>
    </xf>
    <xf numFmtId="2" fontId="60" fillId="22" borderId="130" xfId="0" applyNumberFormat="1" applyFont="1" applyFill="1" applyBorder="1" applyAlignment="1">
      <alignment horizontal="center" vertical="center"/>
    </xf>
    <xf numFmtId="2" fontId="62" fillId="22" borderId="130" xfId="8" applyNumberFormat="1" applyFont="1" applyFill="1" applyBorder="1"/>
    <xf numFmtId="169" fontId="62" fillId="22" borderId="131" xfId="10" applyNumberFormat="1" applyFont="1" applyFill="1" applyBorder="1" applyAlignment="1" applyProtection="1">
      <alignment horizontal="left" vertical="center"/>
      <protection locked="0"/>
    </xf>
    <xf numFmtId="0" fontId="84" fillId="0" borderId="0" xfId="0" applyFont="1"/>
    <xf numFmtId="0" fontId="63" fillId="23" borderId="131" xfId="8" applyFont="1" applyFill="1" applyBorder="1" applyAlignment="1">
      <alignment horizontal="center" vertical="center" wrapText="1"/>
    </xf>
    <xf numFmtId="2" fontId="63" fillId="23" borderId="131" xfId="8" applyNumberFormat="1" applyFont="1" applyFill="1" applyBorder="1" applyAlignment="1">
      <alignment horizontal="center" vertical="center" wrapText="1"/>
    </xf>
    <xf numFmtId="2" fontId="63" fillId="23" borderId="131" xfId="8" applyNumberFormat="1" applyFont="1" applyFill="1" applyBorder="1" applyAlignment="1">
      <alignment horizontal="right" vertical="center" wrapText="1"/>
    </xf>
    <xf numFmtId="0" fontId="87" fillId="0" borderId="0" xfId="0" applyFont="1"/>
    <xf numFmtId="169" fontId="74" fillId="10" borderId="135" xfId="0" applyNumberFormat="1" applyFont="1" applyFill="1" applyBorder="1" applyAlignment="1">
      <alignment horizontal="center" vertical="center"/>
    </xf>
    <xf numFmtId="169" fontId="74" fillId="10" borderId="151" xfId="0" applyNumberFormat="1" applyFont="1" applyFill="1" applyBorder="1" applyAlignment="1">
      <alignment horizontal="center" vertical="center"/>
    </xf>
    <xf numFmtId="0" fontId="63" fillId="0" borderId="131" xfId="8" applyFont="1" applyBorder="1" applyAlignment="1">
      <alignment horizontal="center" vertical="center"/>
    </xf>
    <xf numFmtId="0" fontId="0" fillId="6" borderId="5" xfId="0" applyFill="1" applyBorder="1" applyAlignment="1">
      <alignment horizontal="left" vertical="top" wrapText="1"/>
    </xf>
    <xf numFmtId="4" fontId="7" fillId="4" borderId="161" xfId="2" applyNumberFormat="1" applyBorder="1" applyAlignment="1">
      <alignment horizontal="right" vertical="top" wrapText="1"/>
    </xf>
    <xf numFmtId="0" fontId="0" fillId="6" borderId="26" xfId="0" applyFill="1" applyBorder="1" applyAlignment="1">
      <alignment horizontal="left" vertical="top" wrapText="1"/>
    </xf>
    <xf numFmtId="0" fontId="9" fillId="7" borderId="29"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4" fontId="50" fillId="22" borderId="162" xfId="2" applyNumberFormat="1" applyFont="1" applyFill="1" applyBorder="1" applyAlignment="1">
      <alignment horizontal="right" vertical="top" wrapText="1"/>
    </xf>
    <xf numFmtId="4" fontId="50" fillId="22" borderId="163" xfId="2" applyNumberFormat="1" applyFont="1" applyFill="1" applyBorder="1" applyAlignment="1">
      <alignment horizontal="right" vertical="top" wrapText="1"/>
    </xf>
    <xf numFmtId="4" fontId="50" fillId="22" borderId="164" xfId="2" applyNumberFormat="1" applyFont="1" applyFill="1" applyBorder="1" applyAlignment="1">
      <alignment horizontal="right" vertical="top" wrapText="1"/>
    </xf>
    <xf numFmtId="0" fontId="9" fillId="7" borderId="28" xfId="0" applyFont="1" applyFill="1" applyBorder="1" applyAlignment="1">
      <alignment horizontal="left" vertical="top" wrapText="1"/>
    </xf>
    <xf numFmtId="0" fontId="73" fillId="33" borderId="136" xfId="0" applyFont="1" applyFill="1" applyBorder="1" applyAlignment="1">
      <alignment horizontal="center" wrapText="1"/>
    </xf>
    <xf numFmtId="0" fontId="54" fillId="31" borderId="0" xfId="0" applyFont="1" applyFill="1"/>
    <xf numFmtId="0" fontId="74" fillId="10" borderId="136" xfId="0" applyFont="1" applyFill="1" applyBorder="1"/>
    <xf numFmtId="169" fontId="74" fillId="10" borderId="135" xfId="0" applyNumberFormat="1" applyFont="1" applyFill="1" applyBorder="1" applyAlignment="1">
      <alignment horizontal="left" vertical="center"/>
    </xf>
    <xf numFmtId="169" fontId="63" fillId="22" borderId="131" xfId="10" applyNumberFormat="1" applyFont="1" applyFill="1" applyBorder="1" applyAlignment="1">
      <alignment vertical="center" wrapText="1"/>
    </xf>
    <xf numFmtId="169" fontId="63" fillId="22" borderId="131" xfId="10" applyNumberFormat="1" applyFont="1" applyFill="1" applyBorder="1" applyAlignment="1" applyProtection="1">
      <alignment vertical="center" wrapText="1"/>
      <protection locked="0"/>
    </xf>
    <xf numFmtId="170" fontId="62" fillId="26" borderId="130" xfId="8" applyNumberFormat="1" applyFont="1" applyFill="1" applyBorder="1" applyAlignment="1">
      <alignment wrapText="1"/>
    </xf>
    <xf numFmtId="0" fontId="54" fillId="26" borderId="130" xfId="3" applyFont="1" applyFill="1" applyBorder="1" applyAlignment="1">
      <alignment horizontal="center"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5" xfId="0" applyBorder="1" applyAlignment="1">
      <alignment horizontal="center" vertical="top" wrapText="1"/>
    </xf>
    <xf numFmtId="0" fontId="0" fillId="22" borderId="14" xfId="0" applyFill="1" applyBorder="1" applyAlignment="1">
      <alignment horizontal="center" vertical="top" wrapText="1"/>
    </xf>
    <xf numFmtId="0" fontId="0" fillId="22" borderId="23" xfId="0" applyFill="1" applyBorder="1" applyAlignment="1">
      <alignment horizontal="center" vertical="top" wrapText="1"/>
    </xf>
    <xf numFmtId="0" fontId="0" fillId="22" borderId="13" xfId="0" applyFill="1" applyBorder="1" applyAlignment="1">
      <alignment horizontal="center"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5" xfId="0" applyFont="1" applyBorder="1" applyAlignment="1">
      <alignment horizontal="left" vertical="top" wrapText="1"/>
    </xf>
    <xf numFmtId="0" fontId="52" fillId="0" borderId="0" xfId="0" applyFont="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71" fillId="0" borderId="112" xfId="0" applyFont="1" applyBorder="1" applyAlignment="1">
      <alignment horizontal="left" vertical="top" wrapText="1"/>
    </xf>
    <xf numFmtId="0" fontId="71" fillId="0" borderId="18" xfId="0" applyFont="1" applyBorder="1" applyAlignment="1">
      <alignment horizontal="left" vertical="top" wrapText="1"/>
    </xf>
    <xf numFmtId="0" fontId="71" fillId="0" borderId="33" xfId="0" applyFont="1" applyBorder="1" applyAlignment="1">
      <alignment horizontal="left" vertical="top" wrapText="1"/>
    </xf>
    <xf numFmtId="0" fontId="71" fillId="0" borderId="103" xfId="0" applyFont="1" applyBorder="1" applyAlignment="1">
      <alignment horizontal="left" vertical="top" wrapText="1"/>
    </xf>
    <xf numFmtId="0" fontId="8" fillId="7" borderId="24" xfId="0" applyFont="1" applyFill="1" applyBorder="1" applyAlignment="1">
      <alignment horizontal="left" vertical="top" wrapText="1"/>
    </xf>
    <xf numFmtId="0" fontId="8" fillId="7" borderId="15" xfId="0" applyFont="1" applyFill="1" applyBorder="1" applyAlignment="1">
      <alignment horizontal="left" vertical="top" wrapText="1"/>
    </xf>
    <xf numFmtId="0" fontId="0" fillId="7" borderId="0" xfId="0" applyFill="1" applyAlignment="1">
      <alignment horizontal="left" vertical="top" wrapText="1"/>
    </xf>
    <xf numFmtId="0" fontId="0" fillId="7" borderId="26" xfId="0" applyFill="1" applyBorder="1" applyAlignment="1">
      <alignment horizontal="left" vertical="top" wrapText="1"/>
    </xf>
    <xf numFmtId="0" fontId="0" fillId="16" borderId="14" xfId="0" applyFill="1" applyBorder="1" applyAlignment="1">
      <alignment horizontal="center" vertical="top" wrapText="1"/>
    </xf>
    <xf numFmtId="0" fontId="0" fillId="16" borderId="23" xfId="0" applyFill="1" applyBorder="1" applyAlignment="1">
      <alignment horizontal="center" vertical="top" wrapText="1"/>
    </xf>
    <xf numFmtId="0" fontId="0" fillId="16" borderId="13" xfId="0" applyFill="1" applyBorder="1" applyAlignment="1">
      <alignment horizontal="center" vertical="top" wrapText="1"/>
    </xf>
    <xf numFmtId="0" fontId="80" fillId="0" borderId="0" xfId="0" applyFont="1" applyAlignment="1">
      <alignment horizontal="center" wrapText="1"/>
    </xf>
    <xf numFmtId="0" fontId="81" fillId="0" borderId="0" xfId="0" applyFont="1" applyAlignment="1">
      <alignment horizontal="center" wrapText="1"/>
    </xf>
    <xf numFmtId="0" fontId="15" fillId="8" borderId="57" xfId="0" applyFont="1" applyFill="1" applyBorder="1" applyAlignment="1">
      <alignment horizontal="right" vertical="center" wrapText="1"/>
    </xf>
    <xf numFmtId="0" fontId="15" fillId="8" borderId="33" xfId="0" applyFont="1" applyFill="1" applyBorder="1" applyAlignment="1">
      <alignment horizontal="right" vertical="center" wrapText="1"/>
    </xf>
    <xf numFmtId="0" fontId="15" fillId="15" borderId="22" xfId="0" applyFont="1" applyFill="1" applyBorder="1" applyAlignment="1">
      <alignment horizontal="left" vertical="center" wrapText="1"/>
    </xf>
    <xf numFmtId="0" fontId="15" fillId="15" borderId="37" xfId="0" applyFont="1" applyFill="1" applyBorder="1" applyAlignment="1">
      <alignment horizontal="left" vertical="center" wrapText="1"/>
    </xf>
    <xf numFmtId="0" fontId="15" fillId="8" borderId="53" xfId="0" applyFont="1" applyFill="1" applyBorder="1" applyAlignment="1">
      <alignment horizontal="right" vertical="center" wrapText="1"/>
    </xf>
    <xf numFmtId="0" fontId="15" fillId="8" borderId="54" xfId="0" applyFont="1" applyFill="1" applyBorder="1" applyAlignment="1">
      <alignment horizontal="right" vertical="center" wrapText="1"/>
    </xf>
    <xf numFmtId="0" fontId="16" fillId="15" borderId="55" xfId="0" applyFont="1" applyFill="1" applyBorder="1" applyAlignment="1">
      <alignment horizontal="left" vertical="center" wrapText="1"/>
    </xf>
    <xf numFmtId="0" fontId="16" fillId="15" borderId="56" xfId="0" applyFont="1" applyFill="1" applyBorder="1" applyAlignment="1">
      <alignment horizontal="left" vertical="center" wrapText="1"/>
    </xf>
    <xf numFmtId="0" fontId="45" fillId="15" borderId="22" xfId="6" applyFill="1" applyBorder="1" applyAlignment="1">
      <alignment horizontal="left" vertical="center" wrapText="1"/>
    </xf>
    <xf numFmtId="49" fontId="15" fillId="15" borderId="22" xfId="0" applyNumberFormat="1" applyFont="1" applyFill="1" applyBorder="1" applyAlignment="1">
      <alignment horizontal="left" vertical="center" wrapText="1"/>
    </xf>
    <xf numFmtId="49" fontId="15" fillId="15" borderId="37" xfId="0" applyNumberFormat="1" applyFont="1" applyFill="1" applyBorder="1" applyAlignment="1">
      <alignment horizontal="left" vertical="center" wrapText="1"/>
    </xf>
    <xf numFmtId="0" fontId="19" fillId="9" borderId="156" xfId="0" applyFont="1" applyFill="1" applyBorder="1" applyAlignment="1">
      <alignment horizontal="center" vertical="center" wrapText="1"/>
    </xf>
    <xf numFmtId="0" fontId="19" fillId="9" borderId="157" xfId="0" applyFont="1" applyFill="1" applyBorder="1" applyAlignment="1">
      <alignment horizontal="center" vertical="center" wrapText="1"/>
    </xf>
    <xf numFmtId="0" fontId="19" fillId="9" borderId="158" xfId="0" applyFont="1" applyFill="1" applyBorder="1" applyAlignment="1">
      <alignment horizontal="center" vertical="center" wrapText="1"/>
    </xf>
    <xf numFmtId="0" fontId="19" fillId="9" borderId="159" xfId="0" applyFont="1" applyFill="1" applyBorder="1" applyAlignment="1">
      <alignment horizontal="center" vertical="center" wrapText="1"/>
    </xf>
    <xf numFmtId="0" fontId="20" fillId="26" borderId="51" xfId="3" applyFont="1" applyFill="1" applyBorder="1" applyAlignment="1">
      <alignment horizontal="center" vertical="center" wrapText="1"/>
    </xf>
    <xf numFmtId="0" fontId="20" fillId="26" borderId="52" xfId="3" applyFont="1" applyFill="1" applyBorder="1" applyAlignment="1">
      <alignment horizontal="center" vertical="center" wrapText="1"/>
    </xf>
    <xf numFmtId="0" fontId="22" fillId="3" borderId="62" xfId="1" applyFont="1" applyBorder="1" applyAlignment="1">
      <alignment horizontal="center" vertical="center" wrapText="1"/>
    </xf>
    <xf numFmtId="0" fontId="22" fillId="3" borderId="63" xfId="1" applyFont="1" applyBorder="1" applyAlignment="1">
      <alignment horizontal="center" vertical="center" wrapText="1"/>
    </xf>
    <xf numFmtId="0" fontId="17" fillId="15" borderId="22" xfId="0" applyFont="1" applyFill="1" applyBorder="1" applyAlignment="1">
      <alignment horizontal="left" vertical="center" wrapText="1"/>
    </xf>
    <xf numFmtId="0" fontId="17" fillId="15" borderId="37" xfId="0" applyFont="1" applyFill="1" applyBorder="1" applyAlignment="1">
      <alignment horizontal="left" vertical="center" wrapText="1"/>
    </xf>
    <xf numFmtId="0" fontId="15" fillId="8" borderId="58" xfId="0" applyFont="1" applyFill="1" applyBorder="1" applyAlignment="1">
      <alignment horizontal="right" vertical="center" wrapText="1"/>
    </xf>
    <xf numFmtId="0" fontId="15" fillId="8" borderId="59" xfId="0" applyFont="1" applyFill="1" applyBorder="1" applyAlignment="1">
      <alignment horizontal="right" vertical="center" wrapText="1"/>
    </xf>
    <xf numFmtId="0" fontId="17" fillId="15" borderId="60" xfId="0" applyFont="1" applyFill="1" applyBorder="1" applyAlignment="1">
      <alignment horizontal="left" vertical="center"/>
    </xf>
    <xf numFmtId="0" fontId="17" fillId="15" borderId="61" xfId="0" applyFont="1" applyFill="1" applyBorder="1" applyAlignment="1">
      <alignment horizontal="left" vertical="center"/>
    </xf>
    <xf numFmtId="0" fontId="18" fillId="0" borderId="0" xfId="0" applyFont="1" applyAlignment="1">
      <alignment horizontal="center"/>
    </xf>
    <xf numFmtId="0" fontId="19" fillId="8" borderId="14"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21" fillId="4" borderId="50" xfId="2" applyFont="1" applyBorder="1" applyAlignment="1">
      <alignment horizontal="center" vertical="center" wrapText="1"/>
    </xf>
    <xf numFmtId="0" fontId="21" fillId="4" borderId="43" xfId="2" applyFont="1" applyBorder="1" applyAlignment="1">
      <alignment horizontal="center" vertical="center" wrapText="1"/>
    </xf>
    <xf numFmtId="0" fontId="8" fillId="0" borderId="130" xfId="0" applyFont="1" applyBorder="1" applyAlignment="1">
      <alignment horizontal="center"/>
    </xf>
    <xf numFmtId="0" fontId="73" fillId="33" borderId="160" xfId="0" applyFont="1" applyFill="1" applyBorder="1" applyAlignment="1">
      <alignment horizontal="center" wrapText="1"/>
    </xf>
    <xf numFmtId="0" fontId="73" fillId="33" borderId="0" xfId="0" applyFont="1" applyFill="1" applyAlignment="1">
      <alignment horizontal="center" wrapText="1"/>
    </xf>
    <xf numFmtId="0" fontId="73" fillId="33" borderId="135" xfId="0" applyFont="1" applyFill="1" applyBorder="1" applyAlignment="1">
      <alignment horizontal="center" wrapText="1"/>
    </xf>
    <xf numFmtId="0" fontId="74" fillId="10" borderId="151" xfId="0" applyFont="1" applyFill="1" applyBorder="1" applyAlignment="1">
      <alignment horizontal="center"/>
    </xf>
    <xf numFmtId="0" fontId="74" fillId="10" borderId="136" xfId="0" applyFont="1" applyFill="1" applyBorder="1" applyAlignment="1">
      <alignment horizontal="center"/>
    </xf>
    <xf numFmtId="0" fontId="73" fillId="33" borderId="135" xfId="0" applyFont="1" applyFill="1" applyBorder="1" applyAlignment="1">
      <alignment horizontal="center" vertical="center" wrapText="1"/>
    </xf>
    <xf numFmtId="0" fontId="73" fillId="33" borderId="151" xfId="0" applyFont="1" applyFill="1" applyBorder="1" applyAlignment="1">
      <alignment horizontal="center" wrapText="1"/>
    </xf>
    <xf numFmtId="0" fontId="73" fillId="33" borderId="155" xfId="0" applyFont="1" applyFill="1" applyBorder="1" applyAlignment="1">
      <alignment horizontal="center" wrapText="1"/>
    </xf>
    <xf numFmtId="0" fontId="73" fillId="33" borderId="136" xfId="0" applyFont="1" applyFill="1" applyBorder="1" applyAlignment="1">
      <alignment horizontal="center" wrapText="1"/>
    </xf>
    <xf numFmtId="0" fontId="73" fillId="33" borderId="152" xfId="0" applyFont="1" applyFill="1" applyBorder="1" applyAlignment="1">
      <alignment horizontal="center" vertical="center" wrapText="1"/>
    </xf>
    <xf numFmtId="0" fontId="73" fillId="33" borderId="134" xfId="0" applyFont="1" applyFill="1" applyBorder="1" applyAlignment="1">
      <alignment horizontal="center" vertical="center" wrapText="1"/>
    </xf>
    <xf numFmtId="0" fontId="73" fillId="33" borderId="153" xfId="0" applyFont="1" applyFill="1" applyBorder="1" applyAlignment="1">
      <alignment horizontal="center" vertical="center" wrapText="1"/>
    </xf>
    <xf numFmtId="0" fontId="73" fillId="33" borderId="154" xfId="0" applyFont="1" applyFill="1" applyBorder="1" applyAlignment="1">
      <alignment horizontal="center" vertical="center" wrapText="1"/>
    </xf>
    <xf numFmtId="0" fontId="73" fillId="33" borderId="133" xfId="0" applyFont="1" applyFill="1" applyBorder="1" applyAlignment="1">
      <alignment horizontal="center" vertical="center" wrapText="1"/>
    </xf>
    <xf numFmtId="0" fontId="73" fillId="33" borderId="150" xfId="0" applyFont="1" applyFill="1" applyBorder="1" applyAlignment="1">
      <alignment horizontal="center" vertical="center" wrapText="1"/>
    </xf>
    <xf numFmtId="0" fontId="74" fillId="10" borderId="133" xfId="0" applyFont="1" applyFill="1" applyBorder="1" applyAlignment="1">
      <alignment horizontal="left" vertical="center"/>
    </xf>
    <xf numFmtId="0" fontId="74" fillId="10" borderId="149" xfId="0" applyFont="1" applyFill="1" applyBorder="1" applyAlignment="1">
      <alignment horizontal="left" vertical="center"/>
    </xf>
    <xf numFmtId="0" fontId="74" fillId="10" borderId="150" xfId="0" applyFont="1" applyFill="1" applyBorder="1" applyAlignment="1">
      <alignment horizontal="left" vertical="center"/>
    </xf>
    <xf numFmtId="169" fontId="74" fillId="10" borderId="135" xfId="0" applyNumberFormat="1" applyFont="1" applyFill="1" applyBorder="1" applyAlignment="1">
      <alignment horizontal="center" vertical="center"/>
    </xf>
    <xf numFmtId="0" fontId="74" fillId="10" borderId="151" xfId="0" applyFont="1" applyFill="1" applyBorder="1" applyAlignment="1">
      <alignment horizontal="left" vertical="center"/>
    </xf>
    <xf numFmtId="0" fontId="74" fillId="10" borderId="136" xfId="0" applyFont="1" applyFill="1" applyBorder="1" applyAlignment="1">
      <alignment horizontal="left" vertical="center"/>
    </xf>
    <xf numFmtId="0" fontId="74" fillId="10" borderId="152" xfId="0" applyFont="1" applyFill="1" applyBorder="1" applyAlignment="1">
      <alignment horizontal="left" vertical="center"/>
    </xf>
    <xf numFmtId="0" fontId="74" fillId="10" borderId="134" xfId="0" applyFont="1" applyFill="1" applyBorder="1" applyAlignment="1">
      <alignment horizontal="left" vertical="center"/>
    </xf>
    <xf numFmtId="0" fontId="74" fillId="10" borderId="153" xfId="0" applyFont="1" applyFill="1" applyBorder="1" applyAlignment="1">
      <alignment horizontal="left" vertical="center"/>
    </xf>
    <xf numFmtId="0" fontId="74" fillId="10" borderId="154" xfId="0" applyFont="1" applyFill="1" applyBorder="1" applyAlignment="1">
      <alignment horizontal="left" vertical="center"/>
    </xf>
    <xf numFmtId="0" fontId="74" fillId="10" borderId="152" xfId="0" applyFont="1" applyFill="1" applyBorder="1" applyAlignment="1">
      <alignment horizontal="center" vertical="center"/>
    </xf>
    <xf numFmtId="0" fontId="74" fillId="10" borderId="160" xfId="0" applyFont="1" applyFill="1" applyBorder="1" applyAlignment="1">
      <alignment horizontal="center" vertical="center"/>
    </xf>
    <xf numFmtId="0" fontId="74" fillId="10" borderId="153" xfId="0" applyFont="1" applyFill="1" applyBorder="1" applyAlignment="1">
      <alignment horizontal="center" vertical="center"/>
    </xf>
    <xf numFmtId="169" fontId="74" fillId="10" borderId="151" xfId="0" applyNumberFormat="1" applyFont="1" applyFill="1" applyBorder="1" applyAlignment="1">
      <alignment horizontal="center" vertical="center"/>
    </xf>
    <xf numFmtId="169" fontId="74" fillId="10" borderId="155" xfId="0" applyNumberFormat="1" applyFont="1" applyFill="1" applyBorder="1" applyAlignment="1">
      <alignment horizontal="center" vertical="center"/>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50" fillId="22" borderId="53" xfId="0" applyFont="1" applyFill="1" applyBorder="1" applyAlignment="1">
      <alignment horizontal="center" vertical="top" wrapText="1"/>
    </xf>
    <xf numFmtId="0" fontId="50" fillId="22" borderId="110" xfId="0" applyFont="1" applyFill="1" applyBorder="1" applyAlignment="1">
      <alignment horizontal="center" vertical="top" wrapText="1"/>
    </xf>
    <xf numFmtId="0" fontId="50" fillId="22" borderId="58" xfId="0" applyFont="1" applyFill="1" applyBorder="1" applyAlignment="1">
      <alignment horizontal="center" vertical="top" wrapText="1"/>
    </xf>
    <xf numFmtId="0" fontId="50" fillId="22" borderId="129" xfId="0" applyFont="1" applyFill="1" applyBorder="1" applyAlignment="1">
      <alignment horizontal="center" vertical="top" wrapText="1"/>
    </xf>
    <xf numFmtId="0" fontId="9" fillId="6" borderId="18" xfId="0" applyFont="1" applyFill="1" applyBorder="1" applyAlignment="1">
      <alignment horizontal="center" vertical="top" wrapText="1"/>
    </xf>
    <xf numFmtId="0" fontId="9" fillId="6" borderId="58" xfId="0" applyFont="1" applyFill="1" applyBorder="1" applyAlignment="1">
      <alignment horizontal="center" vertical="top" wrapText="1"/>
    </xf>
    <xf numFmtId="0" fontId="9" fillId="6" borderId="128" xfId="0" applyFont="1" applyFill="1" applyBorder="1" applyAlignment="1">
      <alignment horizontal="center" vertical="top" wrapText="1"/>
    </xf>
    <xf numFmtId="0" fontId="9" fillId="6" borderId="129" xfId="0" applyFont="1" applyFill="1" applyBorder="1" applyAlignment="1">
      <alignment horizontal="center" vertical="top" wrapText="1"/>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9" fillId="6" borderId="24" xfId="0" applyFont="1" applyFill="1" applyBorder="1" applyAlignment="1">
      <alignment horizontal="center" vertical="top" wrapText="1"/>
    </xf>
    <xf numFmtId="0" fontId="9" fillId="6" borderId="0" xfId="0" applyFont="1" applyFill="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64" fillId="22" borderId="137" xfId="8" applyFont="1" applyFill="1" applyBorder="1" applyAlignment="1">
      <alignment horizontal="center" vertical="center" wrapText="1"/>
    </xf>
    <xf numFmtId="0" fontId="64" fillId="22" borderId="138" xfId="8" applyFont="1" applyFill="1" applyBorder="1" applyAlignment="1">
      <alignment horizontal="center" vertical="center" wrapText="1"/>
    </xf>
    <xf numFmtId="0" fontId="64" fillId="22" borderId="132" xfId="8" applyFont="1" applyFill="1" applyBorder="1" applyAlignment="1">
      <alignment horizontal="center" vertical="center" wrapText="1"/>
    </xf>
    <xf numFmtId="0" fontId="64" fillId="28" borderId="137" xfId="8" applyFont="1" applyFill="1" applyBorder="1" applyAlignment="1">
      <alignment horizontal="center" vertical="center" wrapText="1"/>
    </xf>
    <xf numFmtId="0" fontId="64" fillId="28" borderId="138" xfId="8" applyFont="1" applyFill="1" applyBorder="1" applyAlignment="1">
      <alignment horizontal="center" vertical="center" wrapText="1"/>
    </xf>
    <xf numFmtId="0" fontId="64" fillId="28" borderId="132" xfId="8" applyFont="1" applyFill="1" applyBorder="1" applyAlignment="1">
      <alignment horizontal="center" vertical="center" wrapText="1"/>
    </xf>
    <xf numFmtId="0" fontId="64" fillId="26" borderId="137" xfId="8" applyFont="1" applyFill="1" applyBorder="1" applyAlignment="1">
      <alignment horizontal="center" vertical="center" wrapText="1"/>
    </xf>
    <xf numFmtId="0" fontId="64" fillId="26" borderId="132" xfId="8" applyFont="1" applyFill="1" applyBorder="1" applyAlignment="1">
      <alignment horizontal="center" vertical="center" wrapText="1"/>
    </xf>
    <xf numFmtId="0" fontId="63" fillId="27" borderId="137" xfId="8" applyFont="1" applyFill="1" applyBorder="1" applyAlignment="1">
      <alignment horizontal="center" vertical="center" wrapText="1"/>
    </xf>
    <xf numFmtId="0" fontId="63" fillId="27" borderId="138" xfId="8" applyFont="1" applyFill="1" applyBorder="1" applyAlignment="1">
      <alignment horizontal="center" vertical="center" wrapText="1"/>
    </xf>
    <xf numFmtId="0" fontId="63" fillId="27" borderId="132" xfId="8" applyFont="1" applyFill="1" applyBorder="1" applyAlignment="1">
      <alignment horizontal="center" vertical="center" wrapText="1"/>
    </xf>
    <xf numFmtId="0" fontId="61" fillId="22" borderId="130" xfId="8" applyFill="1" applyBorder="1" applyAlignment="1">
      <alignment horizontal="center"/>
    </xf>
    <xf numFmtId="0" fontId="59" fillId="22" borderId="0" xfId="0" applyFont="1" applyFill="1" applyAlignment="1">
      <alignment horizontal="left"/>
    </xf>
    <xf numFmtId="0" fontId="59" fillId="22" borderId="148" xfId="0" applyFont="1" applyFill="1" applyBorder="1" applyAlignment="1">
      <alignment horizontal="left"/>
    </xf>
    <xf numFmtId="0" fontId="54" fillId="26" borderId="165" xfId="0" applyFont="1" applyFill="1" applyBorder="1" applyAlignment="1">
      <alignment horizontal="center"/>
    </xf>
    <xf numFmtId="0" fontId="54" fillId="26" borderId="0" xfId="0" applyFont="1" applyFill="1" applyAlignment="1">
      <alignment horizontal="center"/>
    </xf>
    <xf numFmtId="0" fontId="54" fillId="26" borderId="166" xfId="0" applyFont="1" applyFill="1" applyBorder="1" applyAlignment="1">
      <alignment horizontal="center"/>
    </xf>
    <xf numFmtId="0" fontId="54" fillId="26" borderId="165" xfId="0" applyFont="1" applyFill="1" applyBorder="1" applyAlignment="1">
      <alignment horizontal="left"/>
    </xf>
    <xf numFmtId="0" fontId="54" fillId="26" borderId="0" xfId="0" applyFont="1" applyFill="1" applyAlignment="1">
      <alignment horizontal="left"/>
    </xf>
    <xf numFmtId="0" fontId="55" fillId="32" borderId="145" xfId="0" applyFont="1" applyFill="1" applyBorder="1" applyAlignment="1">
      <alignment horizontal="center"/>
    </xf>
    <xf numFmtId="0" fontId="55" fillId="32" borderId="146" xfId="0" applyFont="1" applyFill="1" applyBorder="1" applyAlignment="1">
      <alignment horizontal="center"/>
    </xf>
    <xf numFmtId="0" fontId="55" fillId="32" borderId="147" xfId="0" applyFont="1" applyFill="1" applyBorder="1" applyAlignment="1">
      <alignment horizontal="center"/>
    </xf>
    <xf numFmtId="0" fontId="60" fillId="6" borderId="143" xfId="0" applyFont="1" applyFill="1" applyBorder="1" applyAlignment="1">
      <alignment horizontal="center" vertical="center"/>
    </xf>
    <xf numFmtId="0" fontId="60" fillId="6" borderId="144" xfId="0" applyFont="1" applyFill="1" applyBorder="1" applyAlignment="1">
      <alignment horizontal="center" vertical="center"/>
    </xf>
    <xf numFmtId="0" fontId="60" fillId="6" borderId="139" xfId="0" applyFont="1" applyFill="1" applyBorder="1" applyAlignment="1">
      <alignment horizontal="center" vertical="center"/>
    </xf>
    <xf numFmtId="0" fontId="54" fillId="22" borderId="130" xfId="0" applyFont="1" applyFill="1" applyBorder="1" applyAlignment="1">
      <alignment horizontal="left" vertical="top"/>
    </xf>
    <xf numFmtId="0" fontId="54" fillId="26" borderId="130" xfId="0" applyFont="1" applyFill="1" applyBorder="1" applyAlignment="1">
      <alignment horizontal="left" vertical="top"/>
    </xf>
    <xf numFmtId="0" fontId="57" fillId="25" borderId="130" xfId="0" applyFont="1" applyFill="1" applyBorder="1" applyAlignment="1">
      <alignment horizontal="center"/>
    </xf>
    <xf numFmtId="0" fontId="27" fillId="0" borderId="0" xfId="0" applyFont="1" applyAlignment="1">
      <alignment horizontal="center"/>
    </xf>
    <xf numFmtId="0" fontId="3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0" fontId="24" fillId="0" borderId="26" xfId="0" applyFont="1" applyBorder="1" applyAlignment="1">
      <alignment horizontal="left"/>
    </xf>
    <xf numFmtId="0" fontId="24" fillId="0" borderId="27" xfId="0" applyFont="1" applyBorder="1" applyAlignment="1">
      <alignment horizontal="left"/>
    </xf>
    <xf numFmtId="0" fontId="23" fillId="11" borderId="28" xfId="0" applyFont="1" applyFill="1" applyBorder="1" applyAlignment="1">
      <alignment horizontal="left"/>
    </xf>
    <xf numFmtId="0" fontId="23" fillId="11" borderId="29" xfId="0" applyFont="1" applyFill="1" applyBorder="1" applyAlignment="1">
      <alignment horizontal="left"/>
    </xf>
    <xf numFmtId="0" fontId="23" fillId="11" borderId="0" xfId="0" applyFont="1" applyFill="1" applyAlignment="1">
      <alignment horizontal="left"/>
    </xf>
    <xf numFmtId="0" fontId="23" fillId="37" borderId="28" xfId="0" applyFont="1" applyFill="1" applyBorder="1" applyAlignment="1">
      <alignment horizontal="left"/>
    </xf>
    <xf numFmtId="0" fontId="23" fillId="37" borderId="29" xfId="0" applyFont="1" applyFill="1" applyBorder="1" applyAlignment="1">
      <alignment horizontal="left"/>
    </xf>
    <xf numFmtId="0" fontId="52" fillId="0" borderId="21" xfId="0" applyFont="1" applyBorder="1" applyAlignment="1">
      <alignment horizontal="left"/>
    </xf>
    <xf numFmtId="0" fontId="23" fillId="17" borderId="28" xfId="0" applyFont="1" applyFill="1" applyBorder="1" applyAlignment="1">
      <alignment horizontal="left"/>
    </xf>
    <xf numFmtId="0" fontId="23" fillId="17" borderId="29" xfId="0" applyFont="1" applyFill="1" applyBorder="1" applyAlignment="1">
      <alignment horizontal="left"/>
    </xf>
    <xf numFmtId="0" fontId="51" fillId="0" borderId="0" xfId="0" applyFont="1"/>
    <xf numFmtId="0" fontId="23" fillId="17" borderId="0" xfId="0" applyFont="1" applyFill="1" applyAlignment="1">
      <alignment horizontal="left"/>
    </xf>
    <xf numFmtId="0" fontId="23" fillId="37" borderId="0" xfId="0" applyFont="1" applyFill="1" applyAlignment="1">
      <alignment horizontal="left"/>
    </xf>
    <xf numFmtId="0" fontId="53" fillId="0" borderId="21" xfId="0" applyFont="1" applyBorder="1" applyAlignment="1">
      <alignment horizontal="left"/>
    </xf>
    <xf numFmtId="0" fontId="51" fillId="0" borderId="0" xfId="0" applyFont="1" applyAlignment="1">
      <alignment wrapText="1"/>
    </xf>
    <xf numFmtId="0" fontId="1" fillId="24" borderId="8" xfId="0" applyFont="1" applyFill="1" applyBorder="1" applyAlignment="1">
      <alignment horizontal="center" vertical="top"/>
    </xf>
    <xf numFmtId="0" fontId="1" fillId="24" borderId="74"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4" xfId="0" applyFont="1" applyFill="1" applyBorder="1" applyAlignment="1">
      <alignment horizontal="left" vertical="top" wrapText="1"/>
    </xf>
    <xf numFmtId="0" fontId="1" fillId="24" borderId="8" xfId="0" applyFont="1" applyFill="1" applyBorder="1" applyAlignment="1">
      <alignment vertical="top" wrapText="1"/>
    </xf>
    <xf numFmtId="0" fontId="1" fillId="24" borderId="74" xfId="0" applyFont="1" applyFill="1" applyBorder="1" applyAlignment="1">
      <alignment vertical="top" wrapText="1"/>
    </xf>
    <xf numFmtId="2" fontId="3" fillId="26" borderId="85" xfId="3" applyNumberFormat="1" applyFont="1" applyFill="1" applyBorder="1" applyAlignment="1">
      <alignment horizontal="right" vertical="top" wrapText="1"/>
    </xf>
    <xf numFmtId="2" fontId="3" fillId="26" borderId="86" xfId="3" applyNumberFormat="1" applyFont="1" applyFill="1" applyBorder="1" applyAlignment="1">
      <alignment horizontal="right" vertical="top" wrapText="1"/>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66" fontId="39" fillId="3" borderId="8" xfId="4" applyNumberFormat="1" applyFont="1" applyFill="1" applyBorder="1" applyAlignment="1">
      <alignment horizontal="right" vertical="top" wrapText="1"/>
    </xf>
    <xf numFmtId="166" fontId="39" fillId="3" borderId="9" xfId="4" applyNumberFormat="1" applyFont="1" applyFill="1" applyBorder="1" applyAlignment="1">
      <alignment horizontal="right" vertical="top" wrapText="1"/>
    </xf>
    <xf numFmtId="166" fontId="39" fillId="3" borderId="8" xfId="4" applyNumberFormat="1" applyFont="1" applyFill="1" applyBorder="1" applyAlignment="1">
      <alignment vertical="top" wrapText="1"/>
    </xf>
    <xf numFmtId="166" fontId="39"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9" fillId="3" borderId="8" xfId="4" applyNumberFormat="1" applyFont="1" applyFill="1" applyBorder="1" applyAlignment="1">
      <alignment vertical="top" wrapText="1"/>
    </xf>
    <xf numFmtId="2" fontId="39" fillId="3" borderId="9" xfId="4" applyNumberFormat="1"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8" fillId="17" borderId="115" xfId="0" applyFont="1" applyFill="1" applyBorder="1" applyAlignment="1">
      <alignment horizontal="left" wrapText="1"/>
    </xf>
    <xf numFmtId="0" fontId="8" fillId="17" borderId="33" xfId="0" applyFont="1" applyFill="1" applyBorder="1" applyAlignment="1">
      <alignment horizontal="left" wrapText="1"/>
    </xf>
    <xf numFmtId="0" fontId="8" fillId="17" borderId="103" xfId="0" applyFont="1" applyFill="1" applyBorder="1" applyAlignment="1">
      <alignment horizontal="left" wrapText="1"/>
    </xf>
    <xf numFmtId="0" fontId="8" fillId="17" borderId="80" xfId="0" applyFont="1" applyFill="1" applyBorder="1" applyAlignment="1">
      <alignment horizontal="center" vertical="top" wrapText="1"/>
    </xf>
    <xf numFmtId="0" fontId="8" fillId="17" borderId="116" xfId="0" applyFont="1" applyFill="1" applyBorder="1" applyAlignment="1">
      <alignment horizontal="center" vertical="top" wrapText="1"/>
    </xf>
    <xf numFmtId="0" fontId="8" fillId="17" borderId="104" xfId="0" applyFont="1" applyFill="1" applyBorder="1" applyAlignment="1">
      <alignment horizontal="center" vertical="top" wrapText="1"/>
    </xf>
    <xf numFmtId="0" fontId="8" fillId="10" borderId="115" xfId="0" applyFont="1" applyFill="1" applyBorder="1" applyAlignment="1">
      <alignment horizontal="center" wrapText="1"/>
    </xf>
    <xf numFmtId="0" fontId="8" fillId="10" borderId="103" xfId="0" applyFont="1" applyFill="1" applyBorder="1" applyAlignment="1">
      <alignment horizontal="center" wrapText="1"/>
    </xf>
    <xf numFmtId="0" fontId="8" fillId="10" borderId="115" xfId="0" applyFont="1" applyFill="1" applyBorder="1" applyAlignment="1">
      <alignment horizontal="center" vertical="center" wrapText="1"/>
    </xf>
    <xf numFmtId="0" fontId="8" fillId="10" borderId="103" xfId="0" applyFont="1" applyFill="1" applyBorder="1" applyAlignment="1">
      <alignment horizontal="center" vertical="center" wrapText="1"/>
    </xf>
    <xf numFmtId="0" fontId="8" fillId="0" borderId="24" xfId="0" applyFont="1" applyBorder="1" applyAlignment="1">
      <alignment horizontal="center" vertical="top" wrapText="1"/>
    </xf>
    <xf numFmtId="0" fontId="0" fillId="0" borderId="23"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8" fillId="20" borderId="14" xfId="0" applyFont="1" applyFill="1" applyBorder="1" applyAlignment="1">
      <alignment horizontal="center"/>
    </xf>
    <xf numFmtId="0" fontId="48" fillId="20" borderId="23" xfId="0" applyFont="1" applyFill="1" applyBorder="1" applyAlignment="1">
      <alignment horizontal="center"/>
    </xf>
  </cellXfs>
  <cellStyles count="13">
    <cellStyle name="Calculation" xfId="2" builtinId="22"/>
    <cellStyle name="Comma" xfId="5" builtinId="3"/>
    <cellStyle name="Currency" xfId="7" builtinId="4"/>
    <cellStyle name="Good" xfId="1" builtinId="26"/>
    <cellStyle name="Hyperlink" xfId="6" builtinId="8"/>
    <cellStyle name="Hypertextové prepojenie 2" xfId="9" xr:uid="{00000000-0005-0000-0000-000003000000}"/>
    <cellStyle name="Mena 2" xfId="11" xr:uid="{00000000-0005-0000-0000-000005000000}"/>
    <cellStyle name="Mena 3" xfId="12" xr:uid="{00000000-0005-0000-0000-000006000000}"/>
    <cellStyle name="Normal" xfId="0" builtinId="0"/>
    <cellStyle name="Normálna 2" xfId="8" xr:uid="{00000000-0005-0000-0000-000008000000}"/>
    <cellStyle name="Normálne 2" xfId="10" xr:uid="{00000000-0005-0000-0000-000009000000}"/>
    <cellStyle name="Note" xfId="3" builtinId="10"/>
    <cellStyle name="Percent" xfId="4" builtinId="5"/>
  </cellStyles>
  <dxfs count="33">
    <dxf>
      <font>
        <color theme="0" tint="-0.14996795556505021"/>
      </font>
    </dxf>
    <dxf>
      <font>
        <color theme="0" tint="-0.14996795556505021"/>
      </font>
    </dxf>
    <dxf>
      <fill>
        <patternFill>
          <bgColor theme="0" tint="-0.14996795556505021"/>
        </patternFill>
      </fill>
    </dxf>
    <dxf>
      <font>
        <b/>
        <i/>
        <color rgb="FFFF0000"/>
      </font>
    </dxf>
    <dxf>
      <font>
        <b/>
        <i/>
        <color rgb="FFFF0000"/>
      </font>
    </dxf>
    <dxf>
      <font>
        <b/>
        <i/>
        <color rgb="FFFF0000"/>
      </font>
    </dxf>
    <dxf>
      <font>
        <b/>
        <i val="0"/>
        <color rgb="FF00B050"/>
      </font>
    </dxf>
    <dxf>
      <font>
        <b/>
        <i/>
        <color rgb="FFFF0000"/>
      </font>
    </dxf>
    <dxf>
      <font>
        <b/>
        <i/>
        <color rgb="FFCA9D0C"/>
      </font>
    </dxf>
    <dxf>
      <font>
        <b/>
        <i/>
        <color rgb="FFCA9D0C"/>
      </font>
    </dxf>
    <dxf>
      <font>
        <b/>
        <i/>
        <color rgb="FFFF0000"/>
      </font>
    </dxf>
    <dxf>
      <font>
        <b/>
        <i/>
        <color rgb="FFFF0000"/>
      </font>
    </dxf>
    <dxf>
      <font>
        <b/>
        <i/>
        <color rgb="FFFF0000"/>
      </font>
    </dxf>
    <dxf>
      <font>
        <b/>
        <i/>
        <color rgb="FFFF0000"/>
      </font>
    </dxf>
    <dxf>
      <fill>
        <patternFill>
          <bgColor theme="7" tint="0.79998168889431442"/>
        </patternFill>
      </fill>
    </dxf>
    <dxf>
      <font>
        <color theme="0"/>
      </font>
    </dxf>
    <dxf>
      <fill>
        <patternFill>
          <bgColor theme="7" tint="0.79998168889431442"/>
        </patternFill>
      </fill>
    </dxf>
    <dxf>
      <font>
        <color theme="0"/>
      </font>
    </dxf>
    <dxf>
      <font>
        <color auto="1"/>
      </font>
      <fill>
        <patternFill>
          <bgColor theme="0" tint="-0.14996795556505021"/>
        </patternFill>
      </fill>
    </dxf>
    <dxf>
      <fill>
        <patternFill>
          <bgColor theme="7" tint="0.79998168889431442"/>
        </patternFill>
      </fill>
    </dxf>
    <dxf>
      <font>
        <b/>
        <i/>
        <color rgb="FFFF0000"/>
      </font>
    </dxf>
    <dxf>
      <font>
        <b/>
        <i val="0"/>
        <condense val="0"/>
        <extend val="0"/>
        <color indexed="1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b/>
        <i/>
        <color rgb="FFFF0000"/>
      </font>
    </dxf>
    <dxf>
      <font>
        <b/>
        <i val="0"/>
        <color rgb="FF00B050"/>
      </font>
    </dxf>
    <dxf>
      <font>
        <color theme="0" tint="-0.24994659260841701"/>
      </font>
    </dxf>
    <dxf>
      <font>
        <color theme="0" tint="-0.24994659260841701"/>
      </font>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Ref>
          </c:cat>
          <c:val>
            <c:numRef>
              <c:f>Harmonogram!$H$3:$H$107</c:f>
              <c:numCache>
                <c:formatCode>General</c:formatCode>
                <c:ptCount val="10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Ref>
          </c:cat>
          <c:val>
            <c:numRef>
              <c:f>Harmonogram!$I$3:$I$107</c:f>
              <c:numCache>
                <c:formatCode>General</c:formatCode>
                <c:ptCount val="105"/>
                <c:pt idx="4">
                  <c:v>1</c:v>
                </c:pt>
                <c:pt idx="9">
                  <c:v>1</c:v>
                </c:pt>
                <c:pt idx="14">
                  <c:v>1</c:v>
                </c:pt>
                <c:pt idx="19">
                  <c:v>1</c:v>
                </c:pt>
                <c:pt idx="24">
                  <c:v>1</c:v>
                </c:pt>
                <c:pt idx="29">
                  <c:v>1</c:v>
                </c:pt>
                <c:pt idx="34">
                  <c:v>1</c:v>
                </c:pt>
                <c:pt idx="39">
                  <c:v>1</c:v>
                </c:pt>
                <c:pt idx="44">
                  <c:v>1</c:v>
                </c:pt>
                <c:pt idx="49">
                  <c:v>1</c:v>
                </c:pt>
                <c:pt idx="54">
                  <c:v>1</c:v>
                </c:pt>
                <c:pt idx="59">
                  <c:v>1</c:v>
                </c:pt>
                <c:pt idx="64">
                  <c:v>1</c:v>
                </c:pt>
                <c:pt idx="69">
                  <c:v>1</c:v>
                </c:pt>
                <c:pt idx="74">
                  <c:v>1</c:v>
                </c:pt>
                <c:pt idx="79">
                  <c:v>1</c:v>
                </c:pt>
                <c:pt idx="84">
                  <c:v>1</c:v>
                </c:pt>
                <c:pt idx="89">
                  <c:v>1</c:v>
                </c:pt>
                <c:pt idx="94">
                  <c:v>1</c:v>
                </c:pt>
                <c:pt idx="99">
                  <c:v>1</c:v>
                </c:pt>
                <c:pt idx="104">
                  <c:v>1</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7620</xdr:colOff>
      <xdr:row>1</xdr:row>
      <xdr:rowOff>91440</xdr:rowOff>
    </xdr:from>
    <xdr:to>
      <xdr:col>23</xdr:col>
      <xdr:colOff>502920</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 val="MODULY_CB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skgeodesy.sk/sk/" TargetMode="Externa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topLeftCell="A4" zoomScale="130" zoomScaleNormal="130" workbookViewId="0">
      <selection activeCell="C14" sqref="C14:I14"/>
    </sheetView>
  </sheetViews>
  <sheetFormatPr defaultColWidth="8.85546875" defaultRowHeight="15"/>
  <cols>
    <col min="2" max="2" width="11.7109375" customWidth="1"/>
    <col min="4" max="4" width="6.42578125" customWidth="1"/>
    <col min="6" max="6" width="7.7109375" customWidth="1"/>
    <col min="7" max="7" width="12.28515625" customWidth="1"/>
    <col min="8" max="8" width="6" customWidth="1"/>
    <col min="9" max="9" width="14.28515625" customWidth="1"/>
  </cols>
  <sheetData>
    <row r="1" spans="1:18">
      <c r="A1" s="34"/>
      <c r="B1" s="34"/>
      <c r="C1" s="34"/>
      <c r="D1" s="34"/>
      <c r="E1" s="34"/>
      <c r="F1" s="34"/>
      <c r="G1" s="34"/>
      <c r="H1" s="34"/>
      <c r="I1" s="34"/>
      <c r="J1" s="236"/>
      <c r="K1" s="237"/>
      <c r="L1" s="237"/>
      <c r="M1" s="237"/>
      <c r="N1" s="237"/>
      <c r="O1" s="237"/>
      <c r="P1" s="237"/>
      <c r="Q1" s="237"/>
      <c r="R1" s="237"/>
    </row>
    <row r="2" spans="1:18">
      <c r="A2" s="34"/>
      <c r="B2" s="34"/>
      <c r="C2" s="34"/>
      <c r="D2" s="34"/>
      <c r="E2" s="34"/>
      <c r="F2" s="34"/>
      <c r="G2" s="34"/>
      <c r="H2" s="34"/>
      <c r="I2" s="34"/>
      <c r="J2" s="237"/>
      <c r="K2" s="237"/>
      <c r="L2" s="237"/>
      <c r="M2" s="237"/>
      <c r="N2" s="237"/>
      <c r="O2" s="237"/>
      <c r="P2" s="237"/>
      <c r="Q2" s="237"/>
      <c r="R2" s="237"/>
    </row>
    <row r="3" spans="1:18" ht="15" customHeight="1">
      <c r="A3" s="34"/>
      <c r="B3" s="34"/>
      <c r="C3" s="34"/>
      <c r="D3" s="34"/>
      <c r="E3" s="34"/>
      <c r="F3" s="34"/>
      <c r="G3" s="34"/>
      <c r="H3" s="34"/>
      <c r="I3" s="34"/>
      <c r="J3" s="237"/>
      <c r="K3" s="237"/>
      <c r="L3" s="237"/>
      <c r="M3" s="237"/>
      <c r="N3" s="237"/>
      <c r="O3" s="237"/>
      <c r="P3" s="237"/>
      <c r="Q3" s="237"/>
      <c r="R3" s="237"/>
    </row>
    <row r="4" spans="1:18" ht="15" customHeight="1">
      <c r="A4" s="34"/>
      <c r="B4" s="34"/>
      <c r="C4" s="34"/>
      <c r="D4" s="34"/>
      <c r="E4" s="34"/>
      <c r="F4" s="34"/>
      <c r="G4" s="34"/>
      <c r="H4" s="34"/>
      <c r="I4" s="34"/>
      <c r="J4" s="237"/>
      <c r="K4" s="237"/>
      <c r="L4" s="237"/>
      <c r="M4" s="237"/>
      <c r="N4" s="237"/>
      <c r="O4" s="237"/>
      <c r="P4" s="237"/>
      <c r="Q4" s="237"/>
      <c r="R4" s="237"/>
    </row>
    <row r="5" spans="1:18">
      <c r="A5" s="34"/>
      <c r="B5" s="34"/>
      <c r="C5" s="34"/>
      <c r="D5" s="34"/>
      <c r="E5" s="34"/>
      <c r="F5" s="34"/>
      <c r="G5" s="34"/>
      <c r="H5" s="34"/>
      <c r="I5" s="34"/>
      <c r="J5" s="237"/>
      <c r="K5" s="237"/>
      <c r="L5" s="237"/>
      <c r="M5" s="237"/>
      <c r="N5" s="237"/>
      <c r="O5" s="237"/>
      <c r="P5" s="237"/>
      <c r="Q5" s="237"/>
      <c r="R5" s="237"/>
    </row>
    <row r="6" spans="1:18" ht="57.75" customHeight="1">
      <c r="A6" s="683" t="s">
        <v>529</v>
      </c>
      <c r="B6" s="683"/>
      <c r="C6" s="683"/>
      <c r="D6" s="683"/>
      <c r="E6" s="683"/>
      <c r="F6" s="683"/>
      <c r="G6" s="683"/>
      <c r="H6" s="683"/>
      <c r="I6" s="683"/>
      <c r="J6" s="237"/>
      <c r="K6" s="237"/>
      <c r="L6" s="237"/>
      <c r="M6" s="237"/>
      <c r="N6" s="237"/>
      <c r="O6" s="237"/>
      <c r="P6" s="237"/>
      <c r="Q6" s="237"/>
      <c r="R6" s="237"/>
    </row>
    <row r="7" spans="1:18">
      <c r="A7" s="684"/>
      <c r="B7" s="684"/>
      <c r="C7" s="684"/>
      <c r="D7" s="684"/>
      <c r="E7" s="684"/>
      <c r="F7" s="684"/>
      <c r="G7" s="684"/>
      <c r="H7" s="684"/>
      <c r="I7" s="684"/>
      <c r="J7" s="237"/>
      <c r="K7" s="636" t="s">
        <v>787</v>
      </c>
      <c r="L7" s="237"/>
      <c r="M7" s="237"/>
      <c r="N7" s="237"/>
      <c r="O7" s="237"/>
      <c r="P7" s="237"/>
      <c r="Q7" s="237"/>
      <c r="R7" s="237"/>
    </row>
    <row r="8" spans="1:18" ht="3.75" customHeight="1">
      <c r="A8" s="684"/>
      <c r="B8" s="684"/>
      <c r="C8" s="684"/>
      <c r="D8" s="684"/>
      <c r="E8" s="684"/>
      <c r="F8" s="684"/>
      <c r="G8" s="684"/>
      <c r="H8" s="684"/>
      <c r="I8" s="684"/>
      <c r="J8" s="237"/>
      <c r="K8" s="237"/>
      <c r="L8" s="237"/>
      <c r="M8" s="237"/>
      <c r="N8" s="237"/>
      <c r="O8" s="237"/>
      <c r="P8" s="237"/>
      <c r="Q8" s="237"/>
      <c r="R8" s="237"/>
    </row>
    <row r="9" spans="1:18" ht="14.25" hidden="1" customHeight="1">
      <c r="A9" s="684"/>
      <c r="B9" s="684"/>
      <c r="C9" s="684"/>
      <c r="D9" s="684"/>
      <c r="E9" s="684"/>
      <c r="F9" s="684"/>
      <c r="G9" s="684"/>
      <c r="H9" s="684"/>
      <c r="I9" s="684"/>
      <c r="J9" s="237"/>
      <c r="K9" s="237"/>
      <c r="L9" s="237"/>
      <c r="M9" s="237"/>
      <c r="N9" s="237"/>
      <c r="O9" s="237"/>
      <c r="P9" s="237"/>
      <c r="Q9" s="237"/>
      <c r="R9" s="237"/>
    </row>
    <row r="10" spans="1:18" ht="15" customHeight="1">
      <c r="A10" s="34"/>
      <c r="B10" s="34"/>
      <c r="C10" s="34"/>
      <c r="D10" s="34"/>
      <c r="E10" s="34"/>
      <c r="F10" s="34"/>
      <c r="G10" s="34"/>
      <c r="H10" s="34"/>
      <c r="I10" s="34"/>
      <c r="J10" s="237"/>
      <c r="K10" s="237"/>
      <c r="L10" s="237"/>
      <c r="M10" s="237"/>
      <c r="N10" s="237"/>
      <c r="O10" s="237"/>
      <c r="P10" s="237"/>
      <c r="Q10" s="237"/>
      <c r="R10" s="237"/>
    </row>
    <row r="11" spans="1:18">
      <c r="B11" s="34"/>
      <c r="C11" s="34"/>
      <c r="D11" s="34"/>
      <c r="E11" s="34"/>
      <c r="F11" s="34"/>
      <c r="G11" s="34"/>
      <c r="H11" s="34"/>
      <c r="I11" s="34"/>
      <c r="J11" s="237"/>
      <c r="K11" s="237"/>
      <c r="L11" s="237"/>
      <c r="M11" s="237"/>
      <c r="N11" s="237"/>
      <c r="O11" s="237"/>
      <c r="P11" s="237"/>
      <c r="Q11" s="237"/>
      <c r="R11" s="237"/>
    </row>
    <row r="12" spans="1:18" ht="15.75" thickBot="1">
      <c r="B12" s="34"/>
      <c r="C12" s="34"/>
      <c r="D12" s="34"/>
      <c r="E12" s="34"/>
      <c r="F12" s="34"/>
      <c r="G12" s="34"/>
      <c r="H12" s="34"/>
      <c r="I12" s="34"/>
      <c r="J12" s="237"/>
      <c r="K12" s="237"/>
      <c r="L12" s="237"/>
      <c r="M12" s="237"/>
      <c r="N12" s="237"/>
      <c r="O12" s="237"/>
      <c r="P12" s="237"/>
      <c r="Q12" s="237"/>
      <c r="R12" s="237"/>
    </row>
    <row r="13" spans="1:18" ht="16.5">
      <c r="A13" s="689" t="s">
        <v>112</v>
      </c>
      <c r="B13" s="690"/>
      <c r="C13" s="691" t="s">
        <v>793</v>
      </c>
      <c r="D13" s="691"/>
      <c r="E13" s="691"/>
      <c r="F13" s="691"/>
      <c r="G13" s="691"/>
      <c r="H13" s="691"/>
      <c r="I13" s="692"/>
      <c r="J13" s="237"/>
      <c r="K13" s="237"/>
      <c r="L13" s="237"/>
      <c r="M13" s="237"/>
      <c r="N13" s="237"/>
      <c r="O13" s="237"/>
      <c r="P13" s="237"/>
      <c r="Q13" s="237"/>
      <c r="R13" s="237"/>
    </row>
    <row r="14" spans="1:18" ht="16.5">
      <c r="A14" s="685" t="s">
        <v>114</v>
      </c>
      <c r="B14" s="686"/>
      <c r="C14" s="687"/>
      <c r="D14" s="687"/>
      <c r="E14" s="687"/>
      <c r="F14" s="687"/>
      <c r="G14" s="687"/>
      <c r="H14" s="687"/>
      <c r="I14" s="688"/>
      <c r="J14" s="237"/>
      <c r="K14" s="237"/>
      <c r="L14" s="237"/>
      <c r="M14" s="237"/>
      <c r="N14" s="237"/>
      <c r="O14" s="237"/>
      <c r="P14" s="237"/>
      <c r="Q14" s="237"/>
      <c r="R14" s="237"/>
    </row>
    <row r="15" spans="1:18" ht="30.75" customHeight="1">
      <c r="A15" s="685" t="s">
        <v>530</v>
      </c>
      <c r="B15" s="686"/>
      <c r="C15" s="687"/>
      <c r="D15" s="687"/>
      <c r="E15" s="687"/>
      <c r="F15" s="687"/>
      <c r="G15" s="687"/>
      <c r="H15" s="687"/>
      <c r="I15" s="688"/>
      <c r="J15" s="237"/>
      <c r="K15" s="237"/>
      <c r="L15" s="237"/>
      <c r="M15" s="237"/>
      <c r="N15" s="237"/>
      <c r="O15" s="237"/>
      <c r="P15" s="237"/>
      <c r="Q15" s="237"/>
      <c r="R15" s="237"/>
    </row>
    <row r="16" spans="1:18" ht="14.45" customHeight="1">
      <c r="A16" s="685" t="s">
        <v>51</v>
      </c>
      <c r="B16" s="686"/>
      <c r="C16" s="687" t="s">
        <v>788</v>
      </c>
      <c r="D16" s="687"/>
      <c r="E16" s="687"/>
      <c r="F16" s="687"/>
      <c r="G16" s="687"/>
      <c r="H16" s="687"/>
      <c r="I16" s="688"/>
      <c r="J16" s="237"/>
      <c r="K16" s="237"/>
      <c r="L16" s="237"/>
      <c r="M16" s="237"/>
      <c r="N16" s="237"/>
      <c r="O16" s="237"/>
      <c r="P16" s="237"/>
      <c r="Q16" s="237"/>
      <c r="R16" s="237"/>
    </row>
    <row r="17" spans="1:18" ht="16.5">
      <c r="A17" s="685" t="s">
        <v>52</v>
      </c>
      <c r="B17" s="686"/>
      <c r="C17" s="687" t="s">
        <v>789</v>
      </c>
      <c r="D17" s="687"/>
      <c r="E17" s="687"/>
      <c r="F17" s="687"/>
      <c r="G17" s="687"/>
      <c r="H17" s="687"/>
      <c r="I17" s="688"/>
      <c r="J17" s="237"/>
      <c r="K17" s="237"/>
      <c r="L17" s="237"/>
      <c r="M17" s="237"/>
      <c r="N17" s="237"/>
      <c r="O17" s="237"/>
      <c r="P17" s="237"/>
      <c r="Q17" s="237"/>
      <c r="R17" s="237"/>
    </row>
    <row r="18" spans="1:18" ht="16.5">
      <c r="A18" s="685" t="s">
        <v>53</v>
      </c>
      <c r="B18" s="686"/>
      <c r="C18" s="687" t="s">
        <v>790</v>
      </c>
      <c r="D18" s="687"/>
      <c r="E18" s="687"/>
      <c r="F18" s="687"/>
      <c r="G18" s="687"/>
      <c r="H18" s="687"/>
      <c r="I18" s="688"/>
      <c r="J18" s="237"/>
      <c r="K18" s="237"/>
      <c r="L18" s="237"/>
      <c r="M18" s="237"/>
      <c r="N18" s="237"/>
      <c r="O18" s="237"/>
      <c r="P18" s="237"/>
      <c r="Q18" s="237"/>
      <c r="R18" s="237"/>
    </row>
    <row r="19" spans="1:18" ht="16.5">
      <c r="A19" s="685" t="s">
        <v>54</v>
      </c>
      <c r="B19" s="686"/>
      <c r="C19" s="693" t="s">
        <v>791</v>
      </c>
      <c r="D19" s="687"/>
      <c r="E19" s="687"/>
      <c r="F19" s="687"/>
      <c r="G19" s="687"/>
      <c r="H19" s="687"/>
      <c r="I19" s="688"/>
      <c r="J19" s="237"/>
      <c r="K19" s="237"/>
      <c r="L19" s="237"/>
      <c r="M19" s="237"/>
      <c r="N19" s="237"/>
      <c r="O19" s="237"/>
      <c r="P19" s="237"/>
      <c r="Q19" s="237"/>
      <c r="R19" s="237"/>
    </row>
    <row r="20" spans="1:18" ht="16.5">
      <c r="A20" s="685" t="s">
        <v>55</v>
      </c>
      <c r="B20" s="686"/>
      <c r="C20" s="694" t="s">
        <v>792</v>
      </c>
      <c r="D20" s="694"/>
      <c r="E20" s="694"/>
      <c r="F20" s="694"/>
      <c r="G20" s="694"/>
      <c r="H20" s="694"/>
      <c r="I20" s="695"/>
      <c r="J20" s="237"/>
      <c r="K20" s="237"/>
      <c r="L20" s="237"/>
      <c r="M20" s="237"/>
      <c r="N20" s="237"/>
      <c r="O20" s="237"/>
      <c r="P20" s="237"/>
      <c r="Q20" s="237"/>
      <c r="R20" s="237"/>
    </row>
    <row r="21" spans="1:18" ht="19.350000000000001" customHeight="1">
      <c r="A21" s="685" t="s">
        <v>56</v>
      </c>
      <c r="B21" s="686"/>
      <c r="C21" s="704" t="s">
        <v>57</v>
      </c>
      <c r="D21" s="704"/>
      <c r="E21" s="704"/>
      <c r="F21" s="704"/>
      <c r="G21" s="704"/>
      <c r="H21" s="704"/>
      <c r="I21" s="705"/>
      <c r="J21" s="237"/>
      <c r="K21" s="237"/>
      <c r="L21" s="237"/>
      <c r="M21" s="237"/>
      <c r="N21" s="237"/>
      <c r="O21" s="237"/>
      <c r="P21" s="237"/>
      <c r="Q21" s="237"/>
      <c r="R21" s="237"/>
    </row>
    <row r="22" spans="1:18" ht="33" customHeight="1" thickBot="1">
      <c r="A22" s="706" t="s">
        <v>58</v>
      </c>
      <c r="B22" s="707"/>
      <c r="C22" s="708" t="s">
        <v>59</v>
      </c>
      <c r="D22" s="708"/>
      <c r="E22" s="708"/>
      <c r="F22" s="708"/>
      <c r="G22" s="708"/>
      <c r="H22" s="708"/>
      <c r="I22" s="709"/>
      <c r="J22" s="237"/>
      <c r="K22" s="237"/>
      <c r="L22" s="237"/>
      <c r="M22" s="237"/>
      <c r="N22" s="237"/>
      <c r="O22" s="237"/>
      <c r="P22" s="237"/>
      <c r="Q22" s="237"/>
      <c r="R22" s="237"/>
    </row>
    <row r="23" spans="1:18">
      <c r="A23" s="34"/>
      <c r="B23" s="34"/>
      <c r="C23" s="34"/>
      <c r="D23" s="34"/>
      <c r="E23" s="34"/>
      <c r="F23" s="34"/>
      <c r="G23" s="34"/>
      <c r="H23" s="34"/>
      <c r="I23" s="34"/>
      <c r="J23" s="237"/>
      <c r="K23" s="237"/>
      <c r="L23" s="237"/>
      <c r="M23" s="237"/>
      <c r="N23" s="237"/>
      <c r="O23" s="237"/>
      <c r="P23" s="237"/>
      <c r="Q23" s="237"/>
      <c r="R23" s="237"/>
    </row>
    <row r="24" spans="1:18" ht="15.75" thickBot="1">
      <c r="A24" s="710" t="s">
        <v>62</v>
      </c>
      <c r="B24" s="710"/>
      <c r="C24" s="710"/>
      <c r="D24" s="710"/>
      <c r="E24" s="710"/>
      <c r="F24" s="710"/>
      <c r="G24" s="710"/>
      <c r="H24" s="710"/>
      <c r="I24" s="710"/>
      <c r="J24" s="237"/>
      <c r="K24" s="237"/>
      <c r="L24" s="237"/>
      <c r="M24" s="237"/>
      <c r="N24" s="237"/>
      <c r="O24" s="237"/>
      <c r="P24" s="237"/>
      <c r="Q24" s="237"/>
      <c r="R24" s="237"/>
    </row>
    <row r="25" spans="1:18" ht="14.45" customHeight="1">
      <c r="A25" s="711" t="s">
        <v>60</v>
      </c>
      <c r="B25" s="712"/>
      <c r="C25" s="715" t="s">
        <v>61</v>
      </c>
      <c r="D25" s="715"/>
      <c r="E25" s="717" t="s">
        <v>63</v>
      </c>
      <c r="F25" s="717"/>
      <c r="G25" s="700" t="s">
        <v>64</v>
      </c>
      <c r="H25" s="700"/>
      <c r="I25" s="702" t="s">
        <v>65</v>
      </c>
      <c r="J25" s="237"/>
      <c r="K25" s="237"/>
      <c r="L25" s="237"/>
      <c r="M25" s="237"/>
      <c r="N25" s="237"/>
      <c r="O25" s="237"/>
      <c r="P25" s="237"/>
      <c r="Q25" s="237"/>
      <c r="R25" s="237"/>
    </row>
    <row r="26" spans="1:18" ht="15.75" thickBot="1">
      <c r="A26" s="713"/>
      <c r="B26" s="714"/>
      <c r="C26" s="716"/>
      <c r="D26" s="716"/>
      <c r="E26" s="718"/>
      <c r="F26" s="718"/>
      <c r="G26" s="701"/>
      <c r="H26" s="701"/>
      <c r="I26" s="703"/>
      <c r="J26" s="237"/>
      <c r="K26" s="237"/>
      <c r="L26" s="237"/>
      <c r="M26" s="237"/>
      <c r="N26" s="237"/>
      <c r="O26" s="237"/>
      <c r="P26" s="237"/>
      <c r="Q26" s="237"/>
      <c r="R26" s="237"/>
    </row>
    <row r="27" spans="1:18">
      <c r="A27" s="562"/>
      <c r="B27" s="562"/>
      <c r="C27" s="696" t="s">
        <v>514</v>
      </c>
      <c r="D27" s="697"/>
      <c r="E27" s="562"/>
      <c r="F27" s="562"/>
      <c r="G27" s="562"/>
      <c r="H27" s="562"/>
      <c r="I27" s="562"/>
      <c r="J27" s="237"/>
      <c r="K27" s="237"/>
      <c r="L27" s="237"/>
      <c r="M27" s="237"/>
      <c r="N27" s="237"/>
      <c r="O27" s="237"/>
      <c r="P27" s="237"/>
      <c r="Q27" s="237"/>
      <c r="R27" s="237"/>
    </row>
    <row r="28" spans="1:18" ht="15.75" thickBot="1">
      <c r="A28" s="563"/>
      <c r="B28" s="563"/>
      <c r="C28" s="698"/>
      <c r="D28" s="699"/>
      <c r="E28" s="563"/>
      <c r="F28" s="563"/>
      <c r="G28" s="563"/>
      <c r="H28" s="563"/>
      <c r="I28" s="563"/>
      <c r="J28" s="237"/>
      <c r="K28" s="237"/>
      <c r="L28" s="237"/>
      <c r="M28" s="237"/>
      <c r="N28" s="237"/>
      <c r="O28" s="237"/>
      <c r="P28" s="237"/>
      <c r="Q28" s="237"/>
      <c r="R28" s="237"/>
    </row>
    <row r="29" spans="1:18">
      <c r="A29" s="563"/>
      <c r="B29" s="563"/>
      <c r="C29" s="563"/>
      <c r="D29" s="563"/>
      <c r="E29" s="563"/>
      <c r="F29" s="563"/>
      <c r="G29" s="563"/>
      <c r="H29" s="563"/>
      <c r="I29" s="563"/>
      <c r="J29" s="237"/>
      <c r="K29" s="237"/>
      <c r="L29" s="237"/>
      <c r="M29" s="237"/>
      <c r="N29" s="237"/>
      <c r="O29" s="237"/>
      <c r="P29" s="237"/>
      <c r="Q29" s="237"/>
      <c r="R29" s="237"/>
    </row>
    <row r="30" spans="1:18">
      <c r="A30" s="78"/>
      <c r="B30" s="78"/>
      <c r="C30" s="34"/>
      <c r="D30" s="34"/>
      <c r="E30" s="34"/>
      <c r="F30" s="34"/>
      <c r="G30" s="34"/>
      <c r="H30" s="34"/>
      <c r="I30" s="34"/>
      <c r="J30" s="237"/>
      <c r="K30" s="237"/>
      <c r="L30" s="237"/>
      <c r="M30" s="237"/>
      <c r="N30" s="237"/>
      <c r="O30" s="237"/>
      <c r="P30" s="237"/>
      <c r="Q30" s="237"/>
      <c r="R30" s="237"/>
    </row>
    <row r="31" spans="1:18">
      <c r="A31" s="34"/>
      <c r="B31" s="34"/>
      <c r="C31" s="34"/>
      <c r="D31" s="34"/>
      <c r="E31" s="34"/>
      <c r="F31" s="34"/>
      <c r="G31" s="34"/>
      <c r="H31" s="34"/>
      <c r="I31" s="34"/>
      <c r="J31" s="237"/>
      <c r="K31" s="237"/>
      <c r="L31" s="237"/>
      <c r="M31" s="237"/>
      <c r="N31" s="237"/>
      <c r="O31" s="237"/>
      <c r="P31" s="237"/>
      <c r="Q31" s="237"/>
      <c r="R31" s="237"/>
    </row>
    <row r="32" spans="1:18">
      <c r="A32" s="34"/>
      <c r="B32" s="34"/>
      <c r="C32" s="34"/>
      <c r="D32" s="34"/>
      <c r="E32" s="34"/>
      <c r="F32" s="34"/>
      <c r="G32" s="34"/>
      <c r="H32" s="34"/>
      <c r="I32" s="34"/>
      <c r="J32" s="237"/>
      <c r="K32" s="237"/>
      <c r="L32" s="237"/>
      <c r="M32" s="237"/>
      <c r="N32" s="237"/>
      <c r="O32" s="237"/>
      <c r="P32" s="237"/>
      <c r="Q32" s="237"/>
      <c r="R32" s="237"/>
    </row>
    <row r="33" spans="1:18">
      <c r="A33" s="34"/>
      <c r="B33" s="34"/>
      <c r="C33" s="34"/>
      <c r="D33" s="34"/>
      <c r="E33" s="34"/>
      <c r="F33" s="34"/>
      <c r="G33" s="34"/>
      <c r="H33" s="34"/>
      <c r="I33" s="34"/>
      <c r="J33" s="237"/>
      <c r="K33" s="237"/>
      <c r="L33" s="237"/>
      <c r="M33" s="237"/>
      <c r="N33" s="237"/>
      <c r="O33" s="237"/>
      <c r="P33" s="237"/>
      <c r="Q33" s="237"/>
      <c r="R33" s="237"/>
    </row>
    <row r="34" spans="1:18">
      <c r="A34" s="34"/>
      <c r="B34" s="34"/>
      <c r="C34" s="34"/>
      <c r="D34" s="34"/>
      <c r="E34" s="34"/>
      <c r="F34" s="34"/>
      <c r="G34" s="34"/>
      <c r="H34" s="34"/>
      <c r="I34" s="34"/>
      <c r="J34" s="237"/>
      <c r="K34" s="237"/>
      <c r="L34" s="237"/>
      <c r="M34" s="237"/>
      <c r="N34" s="237"/>
      <c r="O34" s="237"/>
      <c r="P34" s="237"/>
      <c r="Q34" s="237"/>
      <c r="R34" s="237"/>
    </row>
    <row r="35" spans="1:18">
      <c r="A35" s="34"/>
      <c r="B35" s="34"/>
      <c r="C35" s="34"/>
      <c r="D35" s="34"/>
      <c r="E35" s="34"/>
      <c r="F35" s="34"/>
      <c r="G35" s="34"/>
      <c r="H35" s="34"/>
      <c r="I35" s="34"/>
      <c r="J35" s="237"/>
      <c r="K35" s="237"/>
      <c r="L35" s="237"/>
      <c r="M35" s="237"/>
      <c r="N35" s="237"/>
      <c r="O35" s="237"/>
      <c r="P35" s="237"/>
      <c r="Q35" s="237"/>
      <c r="R35" s="237"/>
    </row>
    <row r="36" spans="1:18">
      <c r="A36" s="34"/>
      <c r="B36" s="34"/>
      <c r="C36" s="34"/>
      <c r="D36" s="34"/>
      <c r="E36" s="34"/>
      <c r="F36" s="34"/>
      <c r="G36" s="34"/>
      <c r="H36" s="34"/>
      <c r="I36" s="34"/>
      <c r="J36" s="237"/>
      <c r="K36" s="237"/>
      <c r="L36" s="237"/>
      <c r="M36" s="237"/>
      <c r="N36" s="237"/>
      <c r="O36" s="237"/>
      <c r="P36" s="237"/>
      <c r="Q36" s="237"/>
      <c r="R36" s="237"/>
    </row>
    <row r="37" spans="1:18">
      <c r="A37" s="34"/>
      <c r="B37" s="34"/>
      <c r="C37" s="34"/>
      <c r="D37" s="34"/>
      <c r="E37" s="34"/>
      <c r="F37" s="34"/>
      <c r="G37" s="34"/>
      <c r="H37" s="34"/>
      <c r="I37" s="34"/>
    </row>
    <row r="38" spans="1:18">
      <c r="A38" s="34"/>
      <c r="B38" s="34"/>
      <c r="C38" s="34"/>
      <c r="D38" s="34"/>
      <c r="E38" s="34"/>
      <c r="F38" s="34"/>
      <c r="G38" s="34"/>
      <c r="H38" s="34"/>
      <c r="I38" s="34"/>
    </row>
    <row r="39" spans="1:18">
      <c r="A39" s="34"/>
      <c r="B39" s="34"/>
      <c r="C39" s="34"/>
      <c r="D39" s="34"/>
      <c r="E39" s="34"/>
      <c r="F39" s="34"/>
      <c r="G39" s="34"/>
      <c r="H39" s="34"/>
      <c r="I39" s="34"/>
    </row>
    <row r="40" spans="1:18">
      <c r="A40" s="34"/>
      <c r="B40" s="34"/>
      <c r="C40" s="34"/>
      <c r="D40" s="34"/>
      <c r="E40" s="34"/>
      <c r="F40" s="34"/>
      <c r="G40" s="34"/>
      <c r="H40" s="34"/>
      <c r="I40" s="34"/>
    </row>
  </sheetData>
  <mergeCells count="28">
    <mergeCell ref="C27:D28"/>
    <mergeCell ref="G25:H26"/>
    <mergeCell ref="I25:I26"/>
    <mergeCell ref="A21:B21"/>
    <mergeCell ref="C21:I21"/>
    <mergeCell ref="A22:B22"/>
    <mergeCell ref="C22:I22"/>
    <mergeCell ref="A24:I24"/>
    <mergeCell ref="A25:B26"/>
    <mergeCell ref="C25:D26"/>
    <mergeCell ref="E25:F26"/>
    <mergeCell ref="A18:B18"/>
    <mergeCell ref="C18:I18"/>
    <mergeCell ref="A19:B19"/>
    <mergeCell ref="C19:I19"/>
    <mergeCell ref="A20:B20"/>
    <mergeCell ref="C20:I20"/>
    <mergeCell ref="A6:I9"/>
    <mergeCell ref="A16:B16"/>
    <mergeCell ref="C16:I16"/>
    <mergeCell ref="A17:B17"/>
    <mergeCell ref="C17:I17"/>
    <mergeCell ref="A13:B13"/>
    <mergeCell ref="C13:I13"/>
    <mergeCell ref="A14:B14"/>
    <mergeCell ref="C14:I14"/>
    <mergeCell ref="A15:B15"/>
    <mergeCell ref="C15:I15"/>
  </mergeCells>
  <hyperlinks>
    <hyperlink ref="C19" r:id="rId1" xr:uid="{EAADD738-435A-4737-86CC-5D558BA24C2E}"/>
  </hyperlinks>
  <pageMargins left="0.7" right="0.7" top="0.75" bottom="0.75" header="0.3" footer="0.3"/>
  <pageSetup paperSize="9" orientation="portrait"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5546875" defaultRowHeight="12.75"/>
  <cols>
    <col min="1" max="1" width="8.85546875" style="606"/>
    <col min="2" max="7" width="33.28515625" style="606" customWidth="1"/>
    <col min="8" max="16384" width="8.85546875" style="606"/>
  </cols>
  <sheetData>
    <row r="1" spans="1:7">
      <c r="A1" s="606" t="s">
        <v>2</v>
      </c>
      <c r="B1" s="606">
        <v>0</v>
      </c>
      <c r="C1" s="606">
        <v>1</v>
      </c>
      <c r="D1" s="606">
        <v>2</v>
      </c>
      <c r="E1" s="606">
        <v>3</v>
      </c>
      <c r="F1" s="606">
        <v>4</v>
      </c>
      <c r="G1" s="606">
        <v>5</v>
      </c>
    </row>
    <row r="2" spans="1:7" ht="63.75">
      <c r="A2" s="606" t="s">
        <v>367</v>
      </c>
      <c r="B2" s="606" t="s">
        <v>542</v>
      </c>
      <c r="C2" s="606" t="s">
        <v>543</v>
      </c>
      <c r="D2" s="606" t="s">
        <v>544</v>
      </c>
      <c r="E2" s="606" t="s">
        <v>545</v>
      </c>
      <c r="F2" s="606" t="s">
        <v>546</v>
      </c>
      <c r="G2" s="606" t="s">
        <v>541</v>
      </c>
    </row>
    <row r="3" spans="1:7" ht="178.5">
      <c r="A3" s="606" t="s">
        <v>366</v>
      </c>
      <c r="B3" s="606" t="s">
        <v>547</v>
      </c>
      <c r="C3" s="606" t="s">
        <v>548</v>
      </c>
      <c r="D3" s="606" t="s">
        <v>549</v>
      </c>
      <c r="E3" s="606" t="s">
        <v>550</v>
      </c>
      <c r="F3" s="606" t="s">
        <v>552</v>
      </c>
      <c r="G3" s="606" t="s">
        <v>553</v>
      </c>
    </row>
    <row r="4" spans="1:7" ht="293.25">
      <c r="A4" s="606" t="s">
        <v>365</v>
      </c>
      <c r="B4" s="606" t="s">
        <v>555</v>
      </c>
      <c r="C4" s="606" t="s">
        <v>556</v>
      </c>
      <c r="D4" s="606" t="s">
        <v>557</v>
      </c>
      <c r="E4" s="606" t="s">
        <v>558</v>
      </c>
      <c r="F4" s="606" t="s">
        <v>559</v>
      </c>
      <c r="G4" s="606" t="s">
        <v>560</v>
      </c>
    </row>
    <row r="5" spans="1:7" ht="242.25">
      <c r="A5" s="606" t="s">
        <v>364</v>
      </c>
      <c r="B5" s="606" t="s">
        <v>561</v>
      </c>
      <c r="C5" s="606" t="s">
        <v>562</v>
      </c>
      <c r="D5" s="606" t="s">
        <v>563</v>
      </c>
      <c r="E5" s="606" t="s">
        <v>564</v>
      </c>
      <c r="F5" s="606" t="s">
        <v>565</v>
      </c>
      <c r="G5" s="606" t="s">
        <v>566</v>
      </c>
    </row>
    <row r="6" spans="1:7" ht="63.75">
      <c r="A6" s="606" t="s">
        <v>363</v>
      </c>
      <c r="B6" s="606" t="s">
        <v>568</v>
      </c>
      <c r="C6" s="606" t="s">
        <v>569</v>
      </c>
      <c r="D6" s="606" t="s">
        <v>570</v>
      </c>
      <c r="E6" s="606" t="s">
        <v>571</v>
      </c>
      <c r="F6" s="606" t="s">
        <v>572</v>
      </c>
      <c r="G6" s="606" t="s">
        <v>567</v>
      </c>
    </row>
    <row r="7" spans="1:7" ht="102">
      <c r="A7" s="606" t="s">
        <v>362</v>
      </c>
      <c r="B7" s="606" t="s">
        <v>573</v>
      </c>
      <c r="C7" s="606" t="s">
        <v>574</v>
      </c>
      <c r="D7" s="606" t="s">
        <v>575</v>
      </c>
      <c r="E7" s="606" t="s">
        <v>576</v>
      </c>
      <c r="F7" s="606" t="s">
        <v>577</v>
      </c>
      <c r="G7" s="606" t="s">
        <v>578</v>
      </c>
    </row>
    <row r="8" spans="1:7" ht="191.25">
      <c r="A8" s="606" t="s">
        <v>361</v>
      </c>
      <c r="B8" s="606" t="s">
        <v>579</v>
      </c>
      <c r="C8" s="606" t="s">
        <v>581</v>
      </c>
      <c r="D8" s="606" t="s">
        <v>582</v>
      </c>
      <c r="E8" s="606" t="s">
        <v>583</v>
      </c>
      <c r="F8" s="606" t="s">
        <v>584</v>
      </c>
      <c r="G8" s="606" t="s">
        <v>580</v>
      </c>
    </row>
    <row r="9" spans="1:7" ht="242.25">
      <c r="A9" s="606" t="s">
        <v>360</v>
      </c>
      <c r="B9" s="606" t="s">
        <v>585</v>
      </c>
      <c r="C9" s="606" t="s">
        <v>586</v>
      </c>
      <c r="D9" s="606" t="s">
        <v>587</v>
      </c>
      <c r="E9" s="606" t="s">
        <v>588</v>
      </c>
      <c r="F9" s="606" t="s">
        <v>590</v>
      </c>
      <c r="G9" s="606" t="s">
        <v>589</v>
      </c>
    </row>
    <row r="10" spans="1:7" ht="395.25">
      <c r="A10" s="606" t="s">
        <v>359</v>
      </c>
      <c r="B10" s="606" t="s">
        <v>561</v>
      </c>
      <c r="C10" s="606" t="s">
        <v>591</v>
      </c>
      <c r="D10" s="606" t="s">
        <v>592</v>
      </c>
      <c r="E10" s="606" t="s">
        <v>593</v>
      </c>
      <c r="F10" s="606" t="s">
        <v>594</v>
      </c>
      <c r="G10" s="606" t="s">
        <v>595</v>
      </c>
    </row>
    <row r="11" spans="1:7" ht="76.5">
      <c r="A11" s="606" t="s">
        <v>358</v>
      </c>
      <c r="B11" s="606" t="s">
        <v>596</v>
      </c>
      <c r="C11" s="606" t="s">
        <v>597</v>
      </c>
      <c r="D11" s="606" t="s">
        <v>598</v>
      </c>
      <c r="E11" s="606" t="s">
        <v>599</v>
      </c>
      <c r="F11" s="606" t="s">
        <v>600</v>
      </c>
      <c r="G11" s="606" t="s">
        <v>601</v>
      </c>
    </row>
    <row r="12" spans="1:7" ht="153">
      <c r="A12" s="606" t="s">
        <v>357</v>
      </c>
      <c r="B12" s="606" t="s">
        <v>602</v>
      </c>
      <c r="C12" s="606" t="s">
        <v>603</v>
      </c>
      <c r="D12" s="606" t="s">
        <v>604</v>
      </c>
      <c r="E12" s="606" t="s">
        <v>605</v>
      </c>
      <c r="F12" s="606" t="s">
        <v>606</v>
      </c>
      <c r="G12" s="606" t="s">
        <v>607</v>
      </c>
    </row>
    <row r="13" spans="1:7" ht="38.25">
      <c r="A13" s="606" t="s">
        <v>356</v>
      </c>
      <c r="B13" s="606" t="s">
        <v>608</v>
      </c>
      <c r="C13" s="606" t="s">
        <v>609</v>
      </c>
      <c r="D13" s="606" t="s">
        <v>610</v>
      </c>
      <c r="E13" s="606" t="s">
        <v>611</v>
      </c>
      <c r="F13" s="606" t="s">
        <v>612</v>
      </c>
      <c r="G13" s="606" t="s">
        <v>613</v>
      </c>
    </row>
    <row r="14" spans="1:7" ht="51">
      <c r="A14" s="606" t="s">
        <v>355</v>
      </c>
      <c r="B14" s="606" t="s">
        <v>614</v>
      </c>
      <c r="C14" s="606" t="s">
        <v>615</v>
      </c>
      <c r="D14" s="606" t="s">
        <v>616</v>
      </c>
      <c r="E14" s="606" t="s">
        <v>617</v>
      </c>
      <c r="F14" s="606" t="s">
        <v>618</v>
      </c>
      <c r="G14" s="606" t="s">
        <v>619</v>
      </c>
    </row>
    <row r="15" spans="1:7" ht="25.5">
      <c r="A15" s="606" t="s">
        <v>506</v>
      </c>
      <c r="B15" s="606" t="s">
        <v>620</v>
      </c>
      <c r="C15" s="606" t="s">
        <v>621</v>
      </c>
      <c r="D15" s="606" t="s">
        <v>622</v>
      </c>
      <c r="E15" s="606" t="s">
        <v>623</v>
      </c>
      <c r="F15" s="606" t="s">
        <v>624</v>
      </c>
      <c r="G15" s="606" t="s">
        <v>625</v>
      </c>
    </row>
    <row r="16" spans="1:7" ht="38.25">
      <c r="A16" s="606" t="s">
        <v>507</v>
      </c>
      <c r="B16" s="606" t="s">
        <v>626</v>
      </c>
      <c r="C16" s="606" t="s">
        <v>627</v>
      </c>
      <c r="D16" s="606" t="s">
        <v>628</v>
      </c>
      <c r="E16" s="606" t="s">
        <v>629</v>
      </c>
      <c r="F16" s="606" t="s">
        <v>630</v>
      </c>
      <c r="G16" s="606" t="s">
        <v>631</v>
      </c>
    </row>
    <row r="17" spans="1:7" ht="51">
      <c r="A17" s="606" t="s">
        <v>508</v>
      </c>
      <c r="B17" s="606" t="s">
        <v>632</v>
      </c>
      <c r="C17" s="606" t="s">
        <v>633</v>
      </c>
      <c r="D17" s="606" t="s">
        <v>634</v>
      </c>
      <c r="E17" s="606" t="s">
        <v>635</v>
      </c>
      <c r="F17" s="606" t="s">
        <v>636</v>
      </c>
      <c r="G17" s="606" t="s">
        <v>637</v>
      </c>
    </row>
    <row r="18" spans="1:7" ht="38.25">
      <c r="A18" s="606" t="s">
        <v>509</v>
      </c>
      <c r="B18" s="606" t="s">
        <v>638</v>
      </c>
      <c r="C18" s="606" t="s">
        <v>639</v>
      </c>
      <c r="D18" s="606" t="s">
        <v>640</v>
      </c>
      <c r="E18" s="606" t="s">
        <v>641</v>
      </c>
      <c r="F18" s="606" t="s">
        <v>642</v>
      </c>
      <c r="G18" s="606" t="s">
        <v>643</v>
      </c>
    </row>
    <row r="19" spans="1:7" ht="51">
      <c r="A19" s="606" t="s">
        <v>510</v>
      </c>
      <c r="B19" s="606" t="s">
        <v>644</v>
      </c>
      <c r="C19" s="606" t="s">
        <v>645</v>
      </c>
      <c r="D19" s="606" t="s">
        <v>646</v>
      </c>
      <c r="E19" s="606" t="s">
        <v>647</v>
      </c>
      <c r="F19" s="606" t="s">
        <v>648</v>
      </c>
      <c r="G19" s="606" t="s">
        <v>649</v>
      </c>
    </row>
    <row r="20" spans="1:7" ht="63.75">
      <c r="A20" s="606" t="s">
        <v>511</v>
      </c>
      <c r="B20" s="606" t="s">
        <v>650</v>
      </c>
      <c r="C20" s="606" t="s">
        <v>651</v>
      </c>
      <c r="D20" s="606" t="s">
        <v>652</v>
      </c>
      <c r="E20" s="606" t="s">
        <v>653</v>
      </c>
      <c r="F20" s="606" t="s">
        <v>654</v>
      </c>
      <c r="G20" s="606" t="s">
        <v>655</v>
      </c>
    </row>
    <row r="21" spans="1:7" ht="25.5">
      <c r="A21" s="606" t="s">
        <v>512</v>
      </c>
      <c r="B21" s="606" t="s">
        <v>656</v>
      </c>
      <c r="C21" s="606" t="s">
        <v>657</v>
      </c>
      <c r="D21" s="606" t="s">
        <v>658</v>
      </c>
      <c r="E21" s="606" t="s">
        <v>659</v>
      </c>
      <c r="F21" s="606" t="s">
        <v>660</v>
      </c>
      <c r="G21" s="606" t="s">
        <v>661</v>
      </c>
    </row>
    <row r="22" spans="1:7" ht="25.5">
      <c r="A22" s="606" t="s">
        <v>513</v>
      </c>
      <c r="B22" s="606" t="s">
        <v>662</v>
      </c>
      <c r="C22" s="606" t="s">
        <v>663</v>
      </c>
      <c r="D22" s="606" t="s">
        <v>664</v>
      </c>
      <c r="E22" s="606" t="s">
        <v>665</v>
      </c>
      <c r="F22" s="606" t="s">
        <v>666</v>
      </c>
      <c r="G22" s="606" t="s">
        <v>667</v>
      </c>
    </row>
  </sheetData>
  <phoneticPr fontId="5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25">
    <tabColor rgb="FFFFC000"/>
  </sheetPr>
  <dimension ref="A1:H21"/>
  <sheetViews>
    <sheetView zoomScale="160" zoomScaleNormal="160" workbookViewId="0">
      <selection activeCell="D5" sqref="D5"/>
    </sheetView>
  </sheetViews>
  <sheetFormatPr defaultColWidth="8.85546875" defaultRowHeight="12.75"/>
  <cols>
    <col min="1" max="1" width="18.7109375" style="399" customWidth="1"/>
    <col min="2" max="2" width="12" style="399" customWidth="1"/>
    <col min="3" max="3" width="6.140625" style="399" customWidth="1"/>
    <col min="4" max="5" width="12" style="399" customWidth="1"/>
    <col min="6" max="7" width="11.28515625" style="399" customWidth="1"/>
    <col min="8" max="16384" width="8.85546875" style="399"/>
  </cols>
  <sheetData>
    <row r="1" spans="1:8" s="400" customFormat="1" ht="25.5">
      <c r="A1" s="420" t="s">
        <v>398</v>
      </c>
      <c r="B1" s="420" t="s">
        <v>301</v>
      </c>
      <c r="C1" s="420" t="s">
        <v>100</v>
      </c>
      <c r="D1" s="420" t="s">
        <v>269</v>
      </c>
      <c r="E1" s="420" t="s">
        <v>397</v>
      </c>
      <c r="F1" s="420" t="s">
        <v>293</v>
      </c>
      <c r="G1" s="420" t="s">
        <v>752</v>
      </c>
    </row>
    <row r="2" spans="1:8">
      <c r="A2" s="417" t="s">
        <v>296</v>
      </c>
      <c r="B2" s="418">
        <v>46204</v>
      </c>
      <c r="C2" s="415">
        <f t="shared" ref="C2:C21" si="0">IF(ISBLANK(B2),"",YEAR(B2))</f>
        <v>2026</v>
      </c>
      <c r="D2" s="418">
        <v>46507</v>
      </c>
      <c r="E2" s="408">
        <f>IF(ISBLANK(B2),"",ROUND((D2-B2+1)/30,0))</f>
        <v>10</v>
      </c>
      <c r="F2" s="415">
        <f>IF(ISBLANK(B2),"",ROUNDUP(((D2+1)-MIN($B$2:$B$21))/365,))</f>
        <v>1</v>
      </c>
      <c r="G2" s="415">
        <f>IF(ISBLANK(B2),"",ROUND((D2-$B$2+1)/30,0))</f>
        <v>10</v>
      </c>
      <c r="H2" s="419"/>
    </row>
    <row r="3" spans="1:8">
      <c r="A3" s="417" t="s">
        <v>297</v>
      </c>
      <c r="B3" s="418">
        <v>46508</v>
      </c>
      <c r="C3" s="415">
        <f t="shared" si="0"/>
        <v>2027</v>
      </c>
      <c r="D3" s="418">
        <v>46843</v>
      </c>
      <c r="E3" s="408">
        <f t="shared" ref="E3:E21" si="1">IF(ISBLANK(B3),"",ROUND((D3-B3+1)/30,0))</f>
        <v>11</v>
      </c>
      <c r="F3" s="415">
        <f t="shared" ref="F3:F21" si="2">IF(ISBLANK(B3),"",ROUNDUP(((D3+1)-MIN($B$2:$B$21))/365,))</f>
        <v>2</v>
      </c>
      <c r="G3" s="415">
        <f>IF(ISBLANK(B3),"",ROUND((D3-$B$2+1)/30,0))</f>
        <v>21</v>
      </c>
    </row>
    <row r="4" spans="1:8">
      <c r="A4" s="417" t="s">
        <v>298</v>
      </c>
      <c r="B4" s="418">
        <v>46753</v>
      </c>
      <c r="C4" s="415">
        <f t="shared" si="0"/>
        <v>2028</v>
      </c>
      <c r="D4" s="418">
        <v>47118</v>
      </c>
      <c r="E4" s="408">
        <f t="shared" si="1"/>
        <v>12</v>
      </c>
      <c r="F4" s="415">
        <f t="shared" si="2"/>
        <v>3</v>
      </c>
      <c r="G4" s="415">
        <f>IF(ISBLANK(B4),"",ROUND((D4-$B$2+1)/30,0))</f>
        <v>31</v>
      </c>
    </row>
    <row r="5" spans="1:8">
      <c r="A5" s="417" t="s">
        <v>396</v>
      </c>
      <c r="B5" s="416"/>
      <c r="C5" s="415" t="str">
        <f t="shared" si="0"/>
        <v/>
      </c>
      <c r="D5" s="416"/>
      <c r="E5" s="408" t="str">
        <f t="shared" si="1"/>
        <v/>
      </c>
      <c r="F5" s="415" t="str">
        <f t="shared" si="2"/>
        <v/>
      </c>
      <c r="G5" s="415"/>
    </row>
    <row r="6" spans="1:8">
      <c r="A6" s="417" t="s">
        <v>395</v>
      </c>
      <c r="B6" s="416"/>
      <c r="C6" s="415" t="str">
        <f t="shared" si="0"/>
        <v/>
      </c>
      <c r="D6" s="416"/>
      <c r="E6" s="408" t="str">
        <f t="shared" si="1"/>
        <v/>
      </c>
      <c r="F6" s="415" t="str">
        <f t="shared" si="2"/>
        <v/>
      </c>
      <c r="G6" s="415"/>
    </row>
    <row r="7" spans="1:8">
      <c r="A7" s="417" t="s">
        <v>394</v>
      </c>
      <c r="B7" s="416"/>
      <c r="C7" s="415" t="str">
        <f t="shared" si="0"/>
        <v/>
      </c>
      <c r="D7" s="416"/>
      <c r="E7" s="408" t="str">
        <f t="shared" si="1"/>
        <v/>
      </c>
      <c r="F7" s="415" t="str">
        <f t="shared" si="2"/>
        <v/>
      </c>
      <c r="G7" s="415"/>
    </row>
    <row r="8" spans="1:8">
      <c r="A8" s="417" t="s">
        <v>393</v>
      </c>
      <c r="B8" s="416"/>
      <c r="C8" s="415" t="str">
        <f t="shared" si="0"/>
        <v/>
      </c>
      <c r="D8" s="416"/>
      <c r="E8" s="408" t="str">
        <f t="shared" si="1"/>
        <v/>
      </c>
      <c r="F8" s="415" t="str">
        <f t="shared" si="2"/>
        <v/>
      </c>
      <c r="G8" s="415"/>
    </row>
    <row r="9" spans="1:8">
      <c r="A9" s="417" t="s">
        <v>392</v>
      </c>
      <c r="B9" s="416"/>
      <c r="C9" s="415" t="str">
        <f t="shared" si="0"/>
        <v/>
      </c>
      <c r="D9" s="416"/>
      <c r="E9" s="408" t="str">
        <f t="shared" si="1"/>
        <v/>
      </c>
      <c r="F9" s="415" t="str">
        <f t="shared" si="2"/>
        <v/>
      </c>
      <c r="G9" s="415"/>
    </row>
    <row r="10" spans="1:8">
      <c r="A10" s="417" t="s">
        <v>391</v>
      </c>
      <c r="B10" s="416"/>
      <c r="C10" s="415" t="str">
        <f t="shared" si="0"/>
        <v/>
      </c>
      <c r="D10" s="416"/>
      <c r="E10" s="408" t="str">
        <f t="shared" si="1"/>
        <v/>
      </c>
      <c r="F10" s="415" t="str">
        <f t="shared" si="2"/>
        <v/>
      </c>
      <c r="G10" s="415"/>
    </row>
    <row r="11" spans="1:8">
      <c r="A11" s="417" t="s">
        <v>390</v>
      </c>
      <c r="B11" s="416"/>
      <c r="C11" s="415" t="str">
        <f t="shared" si="0"/>
        <v/>
      </c>
      <c r="D11" s="416"/>
      <c r="E11" s="408" t="str">
        <f t="shared" si="1"/>
        <v/>
      </c>
      <c r="F11" s="415" t="str">
        <f t="shared" si="2"/>
        <v/>
      </c>
      <c r="G11" s="415"/>
    </row>
    <row r="12" spans="1:8">
      <c r="A12" s="417" t="s">
        <v>389</v>
      </c>
      <c r="B12" s="416"/>
      <c r="C12" s="415" t="str">
        <f t="shared" si="0"/>
        <v/>
      </c>
      <c r="D12" s="416"/>
      <c r="E12" s="408" t="str">
        <f t="shared" si="1"/>
        <v/>
      </c>
      <c r="F12" s="415" t="str">
        <f t="shared" si="2"/>
        <v/>
      </c>
      <c r="G12" s="415"/>
    </row>
    <row r="13" spans="1:8">
      <c r="A13" s="417" t="s">
        <v>388</v>
      </c>
      <c r="B13" s="416"/>
      <c r="C13" s="415" t="str">
        <f t="shared" si="0"/>
        <v/>
      </c>
      <c r="D13" s="416"/>
      <c r="E13" s="408" t="str">
        <f t="shared" si="1"/>
        <v/>
      </c>
      <c r="F13" s="415" t="str">
        <f t="shared" si="2"/>
        <v/>
      </c>
      <c r="G13" s="415"/>
    </row>
    <row r="14" spans="1:8">
      <c r="A14" s="417" t="s">
        <v>387</v>
      </c>
      <c r="B14" s="416"/>
      <c r="C14" s="415" t="str">
        <f t="shared" si="0"/>
        <v/>
      </c>
      <c r="D14" s="416"/>
      <c r="E14" s="408" t="str">
        <f t="shared" si="1"/>
        <v/>
      </c>
      <c r="F14" s="415" t="str">
        <f t="shared" si="2"/>
        <v/>
      </c>
      <c r="G14" s="415"/>
    </row>
    <row r="15" spans="1:8">
      <c r="A15" s="417" t="s">
        <v>386</v>
      </c>
      <c r="B15" s="416"/>
      <c r="C15" s="415" t="str">
        <f t="shared" si="0"/>
        <v/>
      </c>
      <c r="D15" s="416"/>
      <c r="E15" s="408" t="str">
        <f t="shared" si="1"/>
        <v/>
      </c>
      <c r="F15" s="415" t="str">
        <f t="shared" si="2"/>
        <v/>
      </c>
      <c r="G15" s="415"/>
    </row>
    <row r="16" spans="1:8">
      <c r="A16" s="417" t="s">
        <v>385</v>
      </c>
      <c r="B16" s="416"/>
      <c r="C16" s="415" t="str">
        <f t="shared" si="0"/>
        <v/>
      </c>
      <c r="D16" s="416"/>
      <c r="E16" s="408" t="str">
        <f t="shared" si="1"/>
        <v/>
      </c>
      <c r="F16" s="415" t="str">
        <f t="shared" si="2"/>
        <v/>
      </c>
      <c r="G16" s="415"/>
    </row>
    <row r="17" spans="1:7">
      <c r="A17" s="417" t="s">
        <v>384</v>
      </c>
      <c r="B17" s="416"/>
      <c r="C17" s="415" t="str">
        <f t="shared" si="0"/>
        <v/>
      </c>
      <c r="D17" s="416"/>
      <c r="E17" s="408" t="str">
        <f t="shared" si="1"/>
        <v/>
      </c>
      <c r="F17" s="415" t="str">
        <f t="shared" si="2"/>
        <v/>
      </c>
      <c r="G17" s="415"/>
    </row>
    <row r="18" spans="1:7">
      <c r="A18" s="417" t="s">
        <v>383</v>
      </c>
      <c r="B18" s="416"/>
      <c r="C18" s="415" t="str">
        <f t="shared" si="0"/>
        <v/>
      </c>
      <c r="D18" s="416"/>
      <c r="E18" s="408" t="str">
        <f t="shared" si="1"/>
        <v/>
      </c>
      <c r="F18" s="415" t="str">
        <f t="shared" si="2"/>
        <v/>
      </c>
      <c r="G18" s="415"/>
    </row>
    <row r="19" spans="1:7">
      <c r="A19" s="417" t="s">
        <v>382</v>
      </c>
      <c r="B19" s="416"/>
      <c r="C19" s="415" t="str">
        <f t="shared" si="0"/>
        <v/>
      </c>
      <c r="D19" s="416"/>
      <c r="E19" s="408" t="str">
        <f t="shared" si="1"/>
        <v/>
      </c>
      <c r="F19" s="415" t="str">
        <f t="shared" si="2"/>
        <v/>
      </c>
      <c r="G19" s="415"/>
    </row>
    <row r="20" spans="1:7">
      <c r="A20" s="417" t="s">
        <v>381</v>
      </c>
      <c r="B20" s="416"/>
      <c r="C20" s="415" t="str">
        <f t="shared" si="0"/>
        <v/>
      </c>
      <c r="D20" s="416"/>
      <c r="E20" s="408" t="str">
        <f t="shared" si="1"/>
        <v/>
      </c>
      <c r="F20" s="415" t="str">
        <f t="shared" si="2"/>
        <v/>
      </c>
      <c r="G20" s="415"/>
    </row>
    <row r="21" spans="1:7">
      <c r="A21" s="417" t="s">
        <v>380</v>
      </c>
      <c r="B21" s="416"/>
      <c r="C21" s="415" t="str">
        <f t="shared" si="0"/>
        <v/>
      </c>
      <c r="D21" s="416"/>
      <c r="E21" s="408" t="str">
        <f t="shared" si="1"/>
        <v/>
      </c>
      <c r="F21" s="415" t="str">
        <f t="shared" si="2"/>
        <v/>
      </c>
      <c r="G21" s="415"/>
    </row>
  </sheetData>
  <dataValidations count="1">
    <dataValidation type="date" allowBlank="1" showInputMessage="1" showErrorMessage="1" sqref="B2:B21 D2:D21" xr:uid="{00000000-0002-0000-0A00-000000000000}">
      <formula1>36526</formula1>
      <formula2>55153</formula2>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26">
    <tabColor rgb="FFFFC000"/>
  </sheetPr>
  <dimension ref="A1:AG298"/>
  <sheetViews>
    <sheetView zoomScale="145" zoomScaleNormal="145" workbookViewId="0">
      <pane ySplit="2" topLeftCell="A3" activePane="bottomLeft" state="frozen"/>
      <selection activeCell="I3" sqref="I3"/>
      <selection pane="bottomLeft" activeCell="I137" sqref="I137:I141"/>
    </sheetView>
  </sheetViews>
  <sheetFormatPr defaultColWidth="10.42578125" defaultRowHeight="12.75"/>
  <cols>
    <col min="1" max="1" width="18.140625" style="376" customWidth="1"/>
    <col min="2" max="2" width="46.42578125" style="376" customWidth="1"/>
    <col min="3" max="3" width="58.7109375" style="373" customWidth="1"/>
    <col min="4" max="4" width="50.140625" style="373" customWidth="1"/>
    <col min="5" max="5" width="57.7109375" style="373" customWidth="1"/>
    <col min="6" max="6" width="27.42578125" style="373" hidden="1" customWidth="1"/>
    <col min="7" max="7" width="19.28515625" style="373" customWidth="1"/>
    <col min="8" max="9" width="17" style="373" customWidth="1"/>
    <col min="10" max="10" width="17" style="376" hidden="1" customWidth="1"/>
    <col min="11" max="11" width="17" style="376" customWidth="1"/>
    <col min="12" max="12" width="13.7109375" style="375" customWidth="1"/>
    <col min="13" max="14" width="13.7109375" style="376" customWidth="1"/>
    <col min="15" max="15" width="13.7109375" style="375" customWidth="1"/>
    <col min="16" max="16" width="14.28515625" style="374" customWidth="1"/>
    <col min="17" max="17" width="27.42578125" style="373" customWidth="1"/>
    <col min="18" max="18" width="34.28515625" style="373" customWidth="1"/>
    <col min="19" max="19" width="64.42578125" style="373" customWidth="1"/>
    <col min="20" max="20" width="34.42578125" style="373" customWidth="1"/>
    <col min="21" max="21" width="30.42578125" style="373" customWidth="1"/>
    <col min="22" max="22" width="26.28515625" style="373" customWidth="1"/>
    <col min="23" max="24" width="44.42578125" style="373" customWidth="1"/>
    <col min="25" max="26" width="36.28515625" style="373" customWidth="1"/>
    <col min="27" max="28" width="38" style="373" customWidth="1"/>
    <col min="29" max="29" width="52.7109375" style="373" customWidth="1"/>
    <col min="30" max="30" width="35.42578125" style="373" customWidth="1"/>
    <col min="31" max="31" width="30.28515625" style="373" customWidth="1"/>
    <col min="32" max="16384" width="10.42578125" style="373"/>
  </cols>
  <sheetData>
    <row r="1" spans="1:33" ht="45.6" customHeight="1">
      <c r="A1" s="785" t="s">
        <v>338</v>
      </c>
      <c r="B1" s="786"/>
      <c r="C1" s="786"/>
      <c r="D1" s="786"/>
      <c r="E1" s="786"/>
      <c r="F1" s="786"/>
      <c r="G1" s="786"/>
      <c r="H1" s="786"/>
      <c r="I1" s="786"/>
      <c r="J1" s="786"/>
      <c r="K1" s="786"/>
      <c r="L1" s="786"/>
      <c r="M1" s="786"/>
      <c r="N1" s="786"/>
      <c r="O1" s="786"/>
      <c r="P1" s="786"/>
      <c r="Q1" s="786"/>
      <c r="R1" s="786"/>
      <c r="S1" s="787"/>
      <c r="T1" s="777" t="s">
        <v>337</v>
      </c>
      <c r="U1" s="778"/>
      <c r="V1" s="779"/>
      <c r="W1" s="780" t="s">
        <v>336</v>
      </c>
      <c r="X1" s="781"/>
      <c r="Y1" s="781"/>
      <c r="Z1" s="781"/>
      <c r="AA1" s="781"/>
      <c r="AB1" s="781"/>
      <c r="AC1" s="782"/>
      <c r="AD1" s="783" t="s">
        <v>335</v>
      </c>
      <c r="AE1" s="784"/>
      <c r="AF1" s="398"/>
    </row>
    <row r="2" spans="1:33" s="391" customFormat="1" ht="51">
      <c r="A2" s="382" t="s">
        <v>334</v>
      </c>
      <c r="B2" s="382" t="s">
        <v>333</v>
      </c>
      <c r="C2" s="382" t="s">
        <v>332</v>
      </c>
      <c r="D2" s="382" t="s">
        <v>331</v>
      </c>
      <c r="E2" s="382" t="s">
        <v>330</v>
      </c>
      <c r="F2" s="382" t="s">
        <v>329</v>
      </c>
      <c r="G2" s="382" t="s">
        <v>442</v>
      </c>
      <c r="H2" s="397" t="s">
        <v>753</v>
      </c>
      <c r="I2" s="397" t="s">
        <v>754</v>
      </c>
      <c r="J2" s="397" t="s">
        <v>328</v>
      </c>
      <c r="K2" s="397" t="s">
        <v>755</v>
      </c>
      <c r="L2" s="397" t="s">
        <v>327</v>
      </c>
      <c r="M2" s="397" t="s">
        <v>326</v>
      </c>
      <c r="N2" s="397" t="s">
        <v>325</v>
      </c>
      <c r="O2" s="397" t="s">
        <v>324</v>
      </c>
      <c r="P2" s="397" t="s">
        <v>756</v>
      </c>
      <c r="Q2" s="382" t="s">
        <v>757</v>
      </c>
      <c r="R2" s="382" t="s">
        <v>323</v>
      </c>
      <c r="S2" s="382" t="s">
        <v>322</v>
      </c>
      <c r="T2" s="396" t="s">
        <v>321</v>
      </c>
      <c r="U2" s="396" t="s">
        <v>320</v>
      </c>
      <c r="V2" s="395" t="s">
        <v>319</v>
      </c>
      <c r="W2" s="394" t="s">
        <v>318</v>
      </c>
      <c r="X2" s="394" t="s">
        <v>317</v>
      </c>
      <c r="Y2" s="394" t="s">
        <v>316</v>
      </c>
      <c r="Z2" s="394" t="s">
        <v>315</v>
      </c>
      <c r="AA2" s="394" t="s">
        <v>314</v>
      </c>
      <c r="AB2" s="394" t="s">
        <v>313</v>
      </c>
      <c r="AC2" s="394" t="s">
        <v>758</v>
      </c>
      <c r="AD2" s="393" t="s">
        <v>312</v>
      </c>
      <c r="AE2" s="392" t="s">
        <v>311</v>
      </c>
    </row>
    <row r="3" spans="1:33" s="387" customFormat="1" ht="38.25">
      <c r="A3" s="393" t="s">
        <v>796</v>
      </c>
      <c r="B3" s="393" t="s">
        <v>739</v>
      </c>
      <c r="C3" s="524" t="s">
        <v>794</v>
      </c>
      <c r="D3" s="386" t="s">
        <v>899</v>
      </c>
      <c r="E3" s="386" t="s">
        <v>900</v>
      </c>
      <c r="F3" s="386" t="s">
        <v>797</v>
      </c>
      <c r="G3" s="386" t="s">
        <v>898</v>
      </c>
      <c r="H3" s="381">
        <v>2</v>
      </c>
      <c r="I3" s="381">
        <v>10</v>
      </c>
      <c r="J3" s="381">
        <f t="shared" ref="J3:J4" si="0">IF(ISNUMBER(H3),H3,)</f>
        <v>2</v>
      </c>
      <c r="K3" s="633">
        <f>H3*I3</f>
        <v>20</v>
      </c>
      <c r="L3" s="634">
        <f>IFERROR(IF(B3="funkcna poziadavka",VLOOKUP(G3,MODULY_CBA!$B$3:$E$23,4,0)*H3/SUMIFS($H$3:$H$197,$G$3:$G$197,G3,$B$3:$B$197,B3),),)</f>
        <v>1.2272727272727273</v>
      </c>
      <c r="M3" s="633">
        <f>IFERROR(IF(B3="Funkcna poziadavka",VLOOKUP(G3,MODULY_CBA!$B$3:$E$23,3,0),),)</f>
        <v>0.99499999999999988</v>
      </c>
      <c r="N3" s="633">
        <f>IFERROR(IF(B3="funkcna poziadavka",VLOOKUP(G3,MODULY_CBA!$B$3:$E$23,2,0),),)</f>
        <v>0.99</v>
      </c>
      <c r="O3" s="634">
        <f>(I3+L3)*M3*N3*H3</f>
        <v>22.118849999999998</v>
      </c>
      <c r="P3" s="635">
        <f>IFERROR(O3*VLOOKUP(G3,MODULY_CBA!$B$3:$F$23,5,0),)</f>
        <v>663.56549999999993</v>
      </c>
      <c r="Q3" s="471" t="str">
        <f>IFERROR(VLOOKUP(G3,MODULY_CBA!$B$3:$I$23,6,0),"")</f>
        <v>Inkrement 1</v>
      </c>
      <c r="R3" s="385"/>
      <c r="S3" s="385"/>
      <c r="T3" s="385"/>
      <c r="U3" s="385"/>
      <c r="V3" s="388"/>
      <c r="W3" s="378"/>
      <c r="X3" s="378"/>
      <c r="Y3" s="385"/>
      <c r="Z3" s="385"/>
      <c r="AA3" s="385"/>
      <c r="AB3" s="385"/>
      <c r="AC3" s="385"/>
      <c r="AD3" s="385"/>
      <c r="AE3" s="385"/>
      <c r="AF3" s="390"/>
      <c r="AG3" s="389"/>
    </row>
    <row r="4" spans="1:33" s="387" customFormat="1" ht="38.25">
      <c r="A4" s="393" t="s">
        <v>798</v>
      </c>
      <c r="B4" s="393" t="s">
        <v>739</v>
      </c>
      <c r="C4" s="524" t="s">
        <v>794</v>
      </c>
      <c r="D4" s="386" t="s">
        <v>901</v>
      </c>
      <c r="E4" s="386" t="s">
        <v>902</v>
      </c>
      <c r="F4" s="386" t="s">
        <v>797</v>
      </c>
      <c r="G4" s="386" t="s">
        <v>898</v>
      </c>
      <c r="H4" s="381">
        <v>2</v>
      </c>
      <c r="I4" s="381">
        <v>10</v>
      </c>
      <c r="J4" s="381">
        <f t="shared" si="0"/>
        <v>2</v>
      </c>
      <c r="K4" s="633">
        <f t="shared" ref="K4" si="1">H4*I4</f>
        <v>20</v>
      </c>
      <c r="L4" s="634">
        <f>IFERROR(IF(B4="funkcna poziadavka",VLOOKUP(G4,MODULY_CBA!$B$3:$E$23,4,0)*H4/SUMIFS($H$3:$H$197,$G$3:$G$197,G4,$B$3:$B$197,B4),),)</f>
        <v>1.2272727272727273</v>
      </c>
      <c r="M4" s="633">
        <f>IFERROR(IF(B4="Funkcna poziadavka",VLOOKUP(G4,MODULY_CBA!$B$3:$E$23,3,0),),)</f>
        <v>0.99499999999999988</v>
      </c>
      <c r="N4" s="633">
        <f>IFERROR(IF(B4="funkcna poziadavka",VLOOKUP(G4,MODULY_CBA!$B$3:$E$23,2,0),),)</f>
        <v>0.99</v>
      </c>
      <c r="O4" s="634">
        <f t="shared" ref="O4" si="2">(I4+L4)*M4*N4*H4</f>
        <v>22.118849999999998</v>
      </c>
      <c r="P4" s="635">
        <f>IFERROR(O4*VLOOKUP(G4,MODULY_CBA!$B$3:$F$23,5,0),)</f>
        <v>663.56549999999993</v>
      </c>
      <c r="Q4" s="471" t="str">
        <f>IFERROR(VLOOKUP(G4,MODULY_CBA!$B$3:$I$23,6,0),"")</f>
        <v>Inkrement 1</v>
      </c>
      <c r="R4" s="385"/>
      <c r="S4" s="385"/>
      <c r="T4" s="385"/>
      <c r="U4" s="385"/>
      <c r="V4" s="388"/>
      <c r="W4" s="378"/>
      <c r="X4" s="378"/>
      <c r="Y4" s="385"/>
      <c r="Z4" s="385"/>
      <c r="AA4" s="385"/>
      <c r="AB4" s="385"/>
      <c r="AC4" s="385"/>
      <c r="AD4" s="385"/>
      <c r="AE4" s="385"/>
      <c r="AF4" s="390"/>
      <c r="AG4" s="389"/>
    </row>
    <row r="5" spans="1:33" s="387" customFormat="1" ht="38.25">
      <c r="A5" s="393" t="s">
        <v>799</v>
      </c>
      <c r="B5" s="393" t="s">
        <v>739</v>
      </c>
      <c r="C5" s="524" t="s">
        <v>794</v>
      </c>
      <c r="D5" s="386" t="s">
        <v>903</v>
      </c>
      <c r="E5" s="525" t="s">
        <v>904</v>
      </c>
      <c r="F5" s="386" t="s">
        <v>797</v>
      </c>
      <c r="G5" s="386" t="s">
        <v>898</v>
      </c>
      <c r="H5" s="381">
        <v>2</v>
      </c>
      <c r="I5" s="381">
        <v>10</v>
      </c>
      <c r="J5" s="381">
        <f t="shared" ref="J5:J65" si="3">IF(ISNUMBER(H5),H5,)</f>
        <v>2</v>
      </c>
      <c r="K5" s="633">
        <f t="shared" ref="K5:K65" si="4">H5*I5</f>
        <v>20</v>
      </c>
      <c r="L5" s="634">
        <f>IFERROR(IF(B5="funkcna poziadavka",VLOOKUP(G5,MODULY_CBA!$B$3:$E$23,4,0)*H5/SUMIFS($H$3:$H$197,$G$3:$G$197,G5,$B$3:$B$197,B5),),)</f>
        <v>1.2272727272727273</v>
      </c>
      <c r="M5" s="633">
        <f>IFERROR(IF(B5="Funkcna poziadavka",VLOOKUP(G5,MODULY_CBA!$B$3:$E$23,3,0),),)</f>
        <v>0.99499999999999988</v>
      </c>
      <c r="N5" s="633">
        <f>IFERROR(IF(B5="funkcna poziadavka",VLOOKUP(G5,MODULY_CBA!$B$3:$E$23,2,0),),)</f>
        <v>0.99</v>
      </c>
      <c r="O5" s="634">
        <f t="shared" ref="O5:O65" si="5">(I5+L5)*M5*N5*H5</f>
        <v>22.118849999999998</v>
      </c>
      <c r="P5" s="635">
        <f>IFERROR(O5*VLOOKUP(G5,MODULY_CBA!$B$3:$F$23,5,0),)</f>
        <v>663.56549999999993</v>
      </c>
      <c r="Q5" s="471" t="str">
        <f>IFERROR(VLOOKUP(G5,MODULY_CBA!$B$3:$I$23,6,0),"")</f>
        <v>Inkrement 1</v>
      </c>
      <c r="R5" s="385"/>
      <c r="S5" s="385"/>
      <c r="T5" s="385"/>
      <c r="U5" s="385"/>
      <c r="V5" s="388"/>
      <c r="W5" s="378"/>
      <c r="X5" s="378"/>
      <c r="Y5" s="385"/>
      <c r="Z5" s="385"/>
      <c r="AA5" s="385"/>
      <c r="AB5" s="385"/>
      <c r="AC5" s="385"/>
      <c r="AD5" s="385"/>
      <c r="AE5" s="385"/>
      <c r="AF5" s="390"/>
      <c r="AG5" s="389"/>
    </row>
    <row r="6" spans="1:33" s="387" customFormat="1" ht="38.25">
      <c r="A6" s="393" t="s">
        <v>800</v>
      </c>
      <c r="B6" s="393" t="s">
        <v>739</v>
      </c>
      <c r="C6" s="524" t="s">
        <v>794</v>
      </c>
      <c r="D6" s="386" t="s">
        <v>905</v>
      </c>
      <c r="E6" s="525" t="s">
        <v>906</v>
      </c>
      <c r="F6" s="386" t="s">
        <v>797</v>
      </c>
      <c r="G6" s="386" t="s">
        <v>898</v>
      </c>
      <c r="H6" s="381">
        <v>2</v>
      </c>
      <c r="I6" s="381">
        <v>10</v>
      </c>
      <c r="J6" s="381">
        <f t="shared" si="3"/>
        <v>2</v>
      </c>
      <c r="K6" s="633">
        <f t="shared" si="4"/>
        <v>20</v>
      </c>
      <c r="L6" s="634">
        <f>IFERROR(IF(B6="funkcna poziadavka",VLOOKUP(G6,MODULY_CBA!$B$3:$E$23,4,0)*H6/SUMIFS($H$3:$H$197,$G$3:$G$197,G6,$B$3:$B$197,B6),),)</f>
        <v>1.2272727272727273</v>
      </c>
      <c r="M6" s="633">
        <f>IFERROR(IF(B6="Funkcna poziadavka",VLOOKUP(G6,MODULY_CBA!$B$3:$E$23,3,0),),)</f>
        <v>0.99499999999999988</v>
      </c>
      <c r="N6" s="633">
        <f>IFERROR(IF(B6="funkcna poziadavka",VLOOKUP(G6,MODULY_CBA!$B$3:$E$23,2,0),),)</f>
        <v>0.99</v>
      </c>
      <c r="O6" s="634">
        <f t="shared" si="5"/>
        <v>22.118849999999998</v>
      </c>
      <c r="P6" s="635">
        <f>IFERROR(O6*VLOOKUP(G6,MODULY_CBA!$B$3:$F$23,5,0),)</f>
        <v>663.56549999999993</v>
      </c>
      <c r="Q6" s="471" t="str">
        <f>IFERROR(VLOOKUP(G6,MODULY_CBA!$B$3:$I$23,6,0),"")</f>
        <v>Inkrement 1</v>
      </c>
      <c r="R6" s="385"/>
      <c r="S6" s="385"/>
      <c r="T6" s="385"/>
      <c r="U6" s="385"/>
      <c r="V6" s="388"/>
      <c r="W6" s="378"/>
      <c r="X6" s="378"/>
      <c r="Y6" s="385"/>
      <c r="Z6" s="385"/>
      <c r="AA6" s="385"/>
      <c r="AB6" s="385"/>
      <c r="AC6" s="385"/>
      <c r="AD6" s="385"/>
      <c r="AE6" s="385"/>
      <c r="AF6" s="390"/>
      <c r="AG6" s="389"/>
    </row>
    <row r="7" spans="1:33" s="387" customFormat="1" ht="38.25">
      <c r="A7" s="393" t="s">
        <v>801</v>
      </c>
      <c r="B7" s="393" t="s">
        <v>739</v>
      </c>
      <c r="C7" s="524" t="s">
        <v>794</v>
      </c>
      <c r="D7" s="386" t="s">
        <v>907</v>
      </c>
      <c r="E7" s="525" t="s">
        <v>908</v>
      </c>
      <c r="F7" s="386" t="s">
        <v>797</v>
      </c>
      <c r="G7" s="386" t="s">
        <v>898</v>
      </c>
      <c r="H7" s="381">
        <v>2</v>
      </c>
      <c r="I7" s="381">
        <v>10</v>
      </c>
      <c r="J7" s="381">
        <f t="shared" si="3"/>
        <v>2</v>
      </c>
      <c r="K7" s="633">
        <f t="shared" si="4"/>
        <v>20</v>
      </c>
      <c r="L7" s="634">
        <f>IFERROR(IF(B7="funkcna poziadavka",VLOOKUP(G7,MODULY_CBA!$B$3:$E$23,4,0)*H7/SUMIFS($H$3:$H$197,$G$3:$G$197,G7,$B$3:$B$197,B7),),)</f>
        <v>1.2272727272727273</v>
      </c>
      <c r="M7" s="633">
        <f>IFERROR(IF(B7="Funkcna poziadavka",VLOOKUP(G7,MODULY_CBA!$B$3:$E$23,3,0),),)</f>
        <v>0.99499999999999988</v>
      </c>
      <c r="N7" s="633">
        <f>IFERROR(IF(B7="funkcna poziadavka",VLOOKUP(G7,MODULY_CBA!$B$3:$E$23,2,0),),)</f>
        <v>0.99</v>
      </c>
      <c r="O7" s="634">
        <f t="shared" si="5"/>
        <v>22.118849999999998</v>
      </c>
      <c r="P7" s="635">
        <f>IFERROR(O7*VLOOKUP(G7,MODULY_CBA!$B$3:$F$23,5,0),)</f>
        <v>663.56549999999993</v>
      </c>
      <c r="Q7" s="471" t="str">
        <f>IFERROR(VLOOKUP(G7,MODULY_CBA!$B$3:$I$23,6,0),"")</f>
        <v>Inkrement 1</v>
      </c>
      <c r="R7" s="385"/>
      <c r="S7" s="385"/>
      <c r="T7" s="385"/>
      <c r="U7" s="385"/>
      <c r="V7" s="388"/>
      <c r="W7" s="378"/>
      <c r="X7" s="378"/>
      <c r="Y7" s="385"/>
      <c r="Z7" s="385"/>
      <c r="AA7" s="385"/>
      <c r="AB7" s="385"/>
      <c r="AC7" s="385"/>
      <c r="AD7" s="385"/>
      <c r="AE7" s="385"/>
      <c r="AF7" s="390"/>
      <c r="AG7" s="389"/>
    </row>
    <row r="8" spans="1:33" s="387" customFormat="1" ht="38.25">
      <c r="A8" s="393" t="s">
        <v>802</v>
      </c>
      <c r="B8" s="393" t="s">
        <v>739</v>
      </c>
      <c r="C8" s="524" t="s">
        <v>794</v>
      </c>
      <c r="D8" s="386" t="s">
        <v>909</v>
      </c>
      <c r="E8" s="525" t="s">
        <v>910</v>
      </c>
      <c r="F8" s="386" t="s">
        <v>797</v>
      </c>
      <c r="G8" s="386" t="s">
        <v>898</v>
      </c>
      <c r="H8" s="381">
        <v>2</v>
      </c>
      <c r="I8" s="381">
        <v>10</v>
      </c>
      <c r="J8" s="381">
        <f t="shared" si="3"/>
        <v>2</v>
      </c>
      <c r="K8" s="633">
        <f t="shared" si="4"/>
        <v>20</v>
      </c>
      <c r="L8" s="634">
        <f>IFERROR(IF(B8="funkcna poziadavka",VLOOKUP(G8,MODULY_CBA!$B$3:$E$23,4,0)*H8/SUMIFS($H$3:$H$197,$G$3:$G$197,G8,$B$3:$B$197,B8),),)</f>
        <v>1.2272727272727273</v>
      </c>
      <c r="M8" s="633">
        <f>IFERROR(IF(B8="Funkcna poziadavka",VLOOKUP(G8,MODULY_CBA!$B$3:$E$23,3,0),),)</f>
        <v>0.99499999999999988</v>
      </c>
      <c r="N8" s="633">
        <f>IFERROR(IF(B8="funkcna poziadavka",VLOOKUP(G8,MODULY_CBA!$B$3:$E$23,2,0),),)</f>
        <v>0.99</v>
      </c>
      <c r="O8" s="634">
        <f t="shared" si="5"/>
        <v>22.118849999999998</v>
      </c>
      <c r="P8" s="635">
        <f>IFERROR(O8*VLOOKUP(G8,MODULY_CBA!$B$3:$F$23,5,0),)</f>
        <v>663.56549999999993</v>
      </c>
      <c r="Q8" s="471" t="str">
        <f>IFERROR(VLOOKUP(G8,MODULY_CBA!$B$3:$I$23,6,0),"")</f>
        <v>Inkrement 1</v>
      </c>
      <c r="R8" s="385"/>
      <c r="S8" s="385"/>
      <c r="T8" s="385"/>
      <c r="U8" s="385"/>
      <c r="V8" s="388"/>
      <c r="W8" s="378"/>
      <c r="X8" s="378"/>
      <c r="Y8" s="385"/>
      <c r="Z8" s="385"/>
      <c r="AA8" s="385"/>
      <c r="AB8" s="385"/>
      <c r="AC8" s="385"/>
      <c r="AD8" s="385"/>
      <c r="AE8" s="385"/>
      <c r="AF8" s="390"/>
      <c r="AG8" s="389"/>
    </row>
    <row r="9" spans="1:33" s="387" customFormat="1" ht="38.25">
      <c r="A9" s="393" t="s">
        <v>803</v>
      </c>
      <c r="B9" s="393" t="s">
        <v>739</v>
      </c>
      <c r="C9" s="524" t="s">
        <v>794</v>
      </c>
      <c r="D9" s="386" t="s">
        <v>911</v>
      </c>
      <c r="E9" s="525" t="s">
        <v>912</v>
      </c>
      <c r="F9" s="386" t="s">
        <v>797</v>
      </c>
      <c r="G9" s="386" t="s">
        <v>898</v>
      </c>
      <c r="H9" s="381">
        <v>2</v>
      </c>
      <c r="I9" s="381">
        <v>10</v>
      </c>
      <c r="J9" s="381">
        <f t="shared" si="3"/>
        <v>2</v>
      </c>
      <c r="K9" s="633">
        <f t="shared" si="4"/>
        <v>20</v>
      </c>
      <c r="L9" s="634">
        <f>IFERROR(IF(B9="funkcna poziadavka",VLOOKUP(G9,MODULY_CBA!$B$3:$E$23,4,0)*H9/SUMIFS($H$3:$H$197,$G$3:$G$197,G9,$B$3:$B$197,B9),),)</f>
        <v>1.2272727272727273</v>
      </c>
      <c r="M9" s="633">
        <f>IFERROR(IF(B9="Funkcna poziadavka",VLOOKUP(G9,MODULY_CBA!$B$3:$E$23,3,0),),)</f>
        <v>0.99499999999999988</v>
      </c>
      <c r="N9" s="633">
        <f>IFERROR(IF(B9="funkcna poziadavka",VLOOKUP(G9,MODULY_CBA!$B$3:$E$23,2,0),),)</f>
        <v>0.99</v>
      </c>
      <c r="O9" s="634">
        <f t="shared" si="5"/>
        <v>22.118849999999998</v>
      </c>
      <c r="P9" s="635">
        <f>IFERROR(O9*VLOOKUP(G9,MODULY_CBA!$B$3:$F$23,5,0),)</f>
        <v>663.56549999999993</v>
      </c>
      <c r="Q9" s="471" t="str">
        <f>IFERROR(VLOOKUP(G9,MODULY_CBA!$B$3:$I$23,6,0),"")</f>
        <v>Inkrement 1</v>
      </c>
      <c r="R9" s="385"/>
      <c r="S9" s="385"/>
      <c r="T9" s="385"/>
      <c r="U9" s="385"/>
      <c r="V9" s="388"/>
      <c r="W9" s="378"/>
      <c r="X9" s="378"/>
      <c r="Y9" s="385"/>
      <c r="Z9" s="385"/>
      <c r="AA9" s="385"/>
      <c r="AB9" s="385"/>
      <c r="AC9" s="385"/>
      <c r="AD9" s="385"/>
      <c r="AE9" s="385"/>
      <c r="AF9" s="390"/>
      <c r="AG9" s="389"/>
    </row>
    <row r="10" spans="1:33" s="387" customFormat="1" ht="38.25">
      <c r="A10" s="393" t="s">
        <v>804</v>
      </c>
      <c r="B10" s="393" t="s">
        <v>739</v>
      </c>
      <c r="C10" s="524" t="s">
        <v>794</v>
      </c>
      <c r="D10" s="386" t="s">
        <v>913</v>
      </c>
      <c r="E10" s="525" t="s">
        <v>914</v>
      </c>
      <c r="F10" s="386" t="s">
        <v>797</v>
      </c>
      <c r="G10" s="386" t="s">
        <v>898</v>
      </c>
      <c r="H10" s="381">
        <v>2</v>
      </c>
      <c r="I10" s="381">
        <v>10</v>
      </c>
      <c r="J10" s="381">
        <f t="shared" si="3"/>
        <v>2</v>
      </c>
      <c r="K10" s="633">
        <f t="shared" si="4"/>
        <v>20</v>
      </c>
      <c r="L10" s="634">
        <f>IFERROR(IF(B10="funkcna poziadavka",VLOOKUP(G10,MODULY_CBA!$B$3:$E$23,4,0)*H10/SUMIFS($H$3:$H$197,$G$3:$G$197,G10,$B$3:$B$197,B10),),)</f>
        <v>1.2272727272727273</v>
      </c>
      <c r="M10" s="633">
        <f>IFERROR(IF(B10="Funkcna poziadavka",VLOOKUP(G10,MODULY_CBA!$B$3:$E$23,3,0),),)</f>
        <v>0.99499999999999988</v>
      </c>
      <c r="N10" s="633">
        <f>IFERROR(IF(B10="funkcna poziadavka",VLOOKUP(G10,MODULY_CBA!$B$3:$E$23,2,0),),)</f>
        <v>0.99</v>
      </c>
      <c r="O10" s="634">
        <f t="shared" si="5"/>
        <v>22.118849999999998</v>
      </c>
      <c r="P10" s="635">
        <f>IFERROR(O10*VLOOKUP(G10,MODULY_CBA!$B$3:$F$23,5,0),)</f>
        <v>663.56549999999993</v>
      </c>
      <c r="Q10" s="471" t="str">
        <f>IFERROR(VLOOKUP(G10,MODULY_CBA!$B$3:$I$23,6,0),"")</f>
        <v>Inkrement 1</v>
      </c>
      <c r="R10" s="385"/>
      <c r="S10" s="385"/>
      <c r="T10" s="385"/>
      <c r="U10" s="385"/>
      <c r="V10" s="388"/>
      <c r="W10" s="378"/>
      <c r="X10" s="378"/>
      <c r="Y10" s="385"/>
      <c r="Z10" s="385"/>
      <c r="AA10" s="385"/>
      <c r="AB10" s="385"/>
      <c r="AC10" s="385"/>
      <c r="AD10" s="385"/>
      <c r="AE10" s="385"/>
      <c r="AF10" s="390"/>
      <c r="AG10" s="389"/>
    </row>
    <row r="11" spans="1:33" s="387" customFormat="1" ht="51">
      <c r="A11" s="393" t="s">
        <v>805</v>
      </c>
      <c r="B11" s="393" t="s">
        <v>739</v>
      </c>
      <c r="C11" s="524" t="s">
        <v>794</v>
      </c>
      <c r="D11" s="386" t="s">
        <v>915</v>
      </c>
      <c r="E11" s="525" t="s">
        <v>916</v>
      </c>
      <c r="F11" s="386" t="s">
        <v>797</v>
      </c>
      <c r="G11" s="386" t="s">
        <v>898</v>
      </c>
      <c r="H11" s="381">
        <v>2</v>
      </c>
      <c r="I11" s="381">
        <v>10</v>
      </c>
      <c r="J11" s="381">
        <f t="shared" si="3"/>
        <v>2</v>
      </c>
      <c r="K11" s="633">
        <f t="shared" si="4"/>
        <v>20</v>
      </c>
      <c r="L11" s="634">
        <f>IFERROR(IF(B11="funkcna poziadavka",VLOOKUP(G11,MODULY_CBA!$B$3:$E$23,4,0)*H11/SUMIFS($H$3:$H$197,$G$3:$G$197,G11,$B$3:$B$197,B11),),)</f>
        <v>1.2272727272727273</v>
      </c>
      <c r="M11" s="633">
        <f>IFERROR(IF(B11="Funkcna poziadavka",VLOOKUP(G11,MODULY_CBA!$B$3:$E$23,3,0),),)</f>
        <v>0.99499999999999988</v>
      </c>
      <c r="N11" s="633">
        <f>IFERROR(IF(B11="funkcna poziadavka",VLOOKUP(G11,MODULY_CBA!$B$3:$E$23,2,0),),)</f>
        <v>0.99</v>
      </c>
      <c r="O11" s="634">
        <f t="shared" si="5"/>
        <v>22.118849999999998</v>
      </c>
      <c r="P11" s="635">
        <f>IFERROR(O11*VLOOKUP(G11,MODULY_CBA!$B$3:$F$23,5,0),)</f>
        <v>663.56549999999993</v>
      </c>
      <c r="Q11" s="471" t="str">
        <f>IFERROR(VLOOKUP(G11,MODULY_CBA!$B$3:$I$23,6,0),"")</f>
        <v>Inkrement 1</v>
      </c>
      <c r="R11" s="385"/>
      <c r="S11" s="385"/>
      <c r="T11" s="385"/>
      <c r="U11" s="385"/>
      <c r="V11" s="388"/>
      <c r="W11" s="378"/>
      <c r="X11" s="378"/>
      <c r="Y11" s="385"/>
      <c r="Z11" s="385"/>
      <c r="AA11" s="385"/>
      <c r="AB11" s="385"/>
      <c r="AC11" s="385"/>
      <c r="AD11" s="385"/>
      <c r="AE11" s="385"/>
      <c r="AF11" s="390"/>
      <c r="AG11" s="389"/>
    </row>
    <row r="12" spans="1:33" s="387" customFormat="1" ht="51">
      <c r="A12" s="393" t="s">
        <v>806</v>
      </c>
      <c r="B12" s="393" t="s">
        <v>739</v>
      </c>
      <c r="C12" s="524" t="s">
        <v>794</v>
      </c>
      <c r="D12" s="386" t="s">
        <v>917</v>
      </c>
      <c r="E12" s="525" t="s">
        <v>918</v>
      </c>
      <c r="F12" s="386" t="s">
        <v>797</v>
      </c>
      <c r="G12" s="386" t="s">
        <v>898</v>
      </c>
      <c r="H12" s="381">
        <v>2</v>
      </c>
      <c r="I12" s="381">
        <v>10</v>
      </c>
      <c r="J12" s="381">
        <f t="shared" si="3"/>
        <v>2</v>
      </c>
      <c r="K12" s="633">
        <f t="shared" si="4"/>
        <v>20</v>
      </c>
      <c r="L12" s="634">
        <f>IFERROR(IF(B12="funkcna poziadavka",VLOOKUP(G12,MODULY_CBA!$B$3:$E$23,4,0)*H12/SUMIFS($H$3:$H$197,$G$3:$G$197,G12,$B$3:$B$197,B12),),)</f>
        <v>1.2272727272727273</v>
      </c>
      <c r="M12" s="633">
        <f>IFERROR(IF(B12="Funkcna poziadavka",VLOOKUP(G12,MODULY_CBA!$B$3:$E$23,3,0),),)</f>
        <v>0.99499999999999988</v>
      </c>
      <c r="N12" s="633">
        <f>IFERROR(IF(B12="funkcna poziadavka",VLOOKUP(G12,MODULY_CBA!$B$3:$E$23,2,0),),)</f>
        <v>0.99</v>
      </c>
      <c r="O12" s="634">
        <f t="shared" si="5"/>
        <v>22.118849999999998</v>
      </c>
      <c r="P12" s="635">
        <f>IFERROR(O12*VLOOKUP(G12,MODULY_CBA!$B$3:$F$23,5,0),)</f>
        <v>663.56549999999993</v>
      </c>
      <c r="Q12" s="471" t="str">
        <f>IFERROR(VLOOKUP(G12,MODULY_CBA!$B$3:$I$23,6,0),"")</f>
        <v>Inkrement 1</v>
      </c>
      <c r="R12" s="385"/>
      <c r="S12" s="385"/>
      <c r="T12" s="385"/>
      <c r="U12" s="385"/>
      <c r="V12" s="388"/>
      <c r="W12" s="378"/>
      <c r="X12" s="378"/>
      <c r="Y12" s="385"/>
      <c r="Z12" s="385"/>
      <c r="AA12" s="385"/>
      <c r="AB12" s="385"/>
      <c r="AC12" s="385"/>
      <c r="AD12" s="385"/>
      <c r="AE12" s="385"/>
      <c r="AF12" s="390"/>
      <c r="AG12" s="389"/>
    </row>
    <row r="13" spans="1:33" s="387" customFormat="1" ht="38.25">
      <c r="A13" s="393" t="s">
        <v>807</v>
      </c>
      <c r="B13" s="393" t="s">
        <v>739</v>
      </c>
      <c r="C13" s="524" t="s">
        <v>794</v>
      </c>
      <c r="D13" s="386" t="s">
        <v>919</v>
      </c>
      <c r="E13" s="525" t="s">
        <v>920</v>
      </c>
      <c r="F13" s="386" t="s">
        <v>797</v>
      </c>
      <c r="G13" s="386" t="s">
        <v>898</v>
      </c>
      <c r="H13" s="381">
        <v>2</v>
      </c>
      <c r="I13" s="381">
        <v>10</v>
      </c>
      <c r="J13" s="381">
        <f t="shared" si="3"/>
        <v>2</v>
      </c>
      <c r="K13" s="633">
        <f t="shared" si="4"/>
        <v>20</v>
      </c>
      <c r="L13" s="634">
        <f>IFERROR(IF(B13="funkcna poziadavka",VLOOKUP(G13,MODULY_CBA!$B$3:$E$23,4,0)*H13/SUMIFS($H$3:$H$197,$G$3:$G$197,G13,$B$3:$B$197,B13),),)</f>
        <v>1.2272727272727273</v>
      </c>
      <c r="M13" s="633">
        <f>IFERROR(IF(B13="Funkcna poziadavka",VLOOKUP(G13,MODULY_CBA!$B$3:$E$23,3,0),),)</f>
        <v>0.99499999999999988</v>
      </c>
      <c r="N13" s="633">
        <f>IFERROR(IF(B13="funkcna poziadavka",VLOOKUP(G13,MODULY_CBA!$B$3:$E$23,2,0),),)</f>
        <v>0.99</v>
      </c>
      <c r="O13" s="634">
        <f t="shared" si="5"/>
        <v>22.118849999999998</v>
      </c>
      <c r="P13" s="635">
        <f>IFERROR(O13*VLOOKUP(G13,MODULY_CBA!$B$3:$F$23,5,0),)</f>
        <v>663.56549999999993</v>
      </c>
      <c r="Q13" s="471" t="str">
        <f>IFERROR(VLOOKUP(G13,MODULY_CBA!$B$3:$I$23,6,0),"")</f>
        <v>Inkrement 1</v>
      </c>
      <c r="R13" s="385"/>
      <c r="S13" s="385"/>
      <c r="T13" s="385"/>
      <c r="U13" s="385"/>
      <c r="V13" s="388"/>
      <c r="W13" s="378"/>
      <c r="X13" s="378"/>
      <c r="Y13" s="385"/>
      <c r="Z13" s="385"/>
      <c r="AA13" s="385"/>
      <c r="AB13" s="385"/>
      <c r="AC13" s="385"/>
      <c r="AD13" s="385"/>
      <c r="AE13" s="385"/>
      <c r="AF13" s="390"/>
      <c r="AG13" s="389"/>
    </row>
    <row r="14" spans="1:33" s="387" customFormat="1" ht="51">
      <c r="A14" s="393" t="s">
        <v>808</v>
      </c>
      <c r="B14" s="393" t="s">
        <v>739</v>
      </c>
      <c r="C14" s="524" t="s">
        <v>794</v>
      </c>
      <c r="D14" s="386" t="s">
        <v>921</v>
      </c>
      <c r="E14" s="525" t="s">
        <v>922</v>
      </c>
      <c r="F14" s="386" t="s">
        <v>797</v>
      </c>
      <c r="G14" s="386" t="s">
        <v>898</v>
      </c>
      <c r="H14" s="381">
        <v>2</v>
      </c>
      <c r="I14" s="381">
        <v>10</v>
      </c>
      <c r="J14" s="381">
        <f t="shared" si="3"/>
        <v>2</v>
      </c>
      <c r="K14" s="633">
        <f t="shared" si="4"/>
        <v>20</v>
      </c>
      <c r="L14" s="634">
        <f>IFERROR(IF(B14="funkcna poziadavka",VLOOKUP(G14,MODULY_CBA!$B$3:$E$23,4,0)*H14/SUMIFS($H$3:$H$197,$G$3:$G$197,G14,$B$3:$B$197,B14),),)</f>
        <v>1.2272727272727273</v>
      </c>
      <c r="M14" s="633">
        <f>IFERROR(IF(B14="Funkcna poziadavka",VLOOKUP(G14,MODULY_CBA!$B$3:$E$23,3,0),),)</f>
        <v>0.99499999999999988</v>
      </c>
      <c r="N14" s="633">
        <f>IFERROR(IF(B14="funkcna poziadavka",VLOOKUP(G14,MODULY_CBA!$B$3:$E$23,2,0),),)</f>
        <v>0.99</v>
      </c>
      <c r="O14" s="634">
        <f t="shared" si="5"/>
        <v>22.118849999999998</v>
      </c>
      <c r="P14" s="635">
        <f>IFERROR(O14*VLOOKUP(G14,MODULY_CBA!$B$3:$F$23,5,0),)</f>
        <v>663.56549999999993</v>
      </c>
      <c r="Q14" s="471" t="str">
        <f>IFERROR(VLOOKUP(G14,MODULY_CBA!$B$3:$I$23,6,0),"")</f>
        <v>Inkrement 1</v>
      </c>
      <c r="R14" s="385"/>
      <c r="S14" s="385"/>
      <c r="T14" s="385"/>
      <c r="U14" s="385"/>
      <c r="V14" s="388"/>
      <c r="W14" s="378"/>
      <c r="X14" s="378"/>
      <c r="Y14" s="385"/>
      <c r="Z14" s="385"/>
      <c r="AA14" s="385"/>
      <c r="AB14" s="385"/>
      <c r="AC14" s="385"/>
      <c r="AD14" s="385"/>
      <c r="AE14" s="385"/>
      <c r="AF14" s="390"/>
      <c r="AG14" s="389"/>
    </row>
    <row r="15" spans="1:33" s="387" customFormat="1" ht="51">
      <c r="A15" s="393" t="s">
        <v>809</v>
      </c>
      <c r="B15" s="393" t="s">
        <v>739</v>
      </c>
      <c r="C15" s="524" t="s">
        <v>794</v>
      </c>
      <c r="D15" s="386" t="s">
        <v>923</v>
      </c>
      <c r="E15" s="525" t="s">
        <v>924</v>
      </c>
      <c r="F15" s="386" t="s">
        <v>797</v>
      </c>
      <c r="G15" s="386" t="s">
        <v>898</v>
      </c>
      <c r="H15" s="381">
        <v>2</v>
      </c>
      <c r="I15" s="381">
        <v>10</v>
      </c>
      <c r="J15" s="381">
        <f t="shared" si="3"/>
        <v>2</v>
      </c>
      <c r="K15" s="633">
        <f t="shared" si="4"/>
        <v>20</v>
      </c>
      <c r="L15" s="634">
        <f>IFERROR(IF(B15="funkcna poziadavka",VLOOKUP(G15,MODULY_CBA!$B$3:$E$23,4,0)*H15/SUMIFS($H$3:$H$197,$G$3:$G$197,G15,$B$3:$B$197,B15),),)</f>
        <v>1.2272727272727273</v>
      </c>
      <c r="M15" s="633">
        <f>IFERROR(IF(B15="Funkcna poziadavka",VLOOKUP(G15,MODULY_CBA!$B$3:$E$23,3,0),),)</f>
        <v>0.99499999999999988</v>
      </c>
      <c r="N15" s="633">
        <f>IFERROR(IF(B15="funkcna poziadavka",VLOOKUP(G15,MODULY_CBA!$B$3:$E$23,2,0),),)</f>
        <v>0.99</v>
      </c>
      <c r="O15" s="634">
        <f t="shared" si="5"/>
        <v>22.118849999999998</v>
      </c>
      <c r="P15" s="635">
        <f>IFERROR(O15*VLOOKUP(G15,MODULY_CBA!$B$3:$F$23,5,0),)</f>
        <v>663.56549999999993</v>
      </c>
      <c r="Q15" s="471" t="str">
        <f>IFERROR(VLOOKUP(G15,MODULY_CBA!$B$3:$I$23,6,0),"")</f>
        <v>Inkrement 1</v>
      </c>
      <c r="R15" s="385"/>
      <c r="S15" s="385"/>
      <c r="T15" s="385"/>
      <c r="U15" s="385"/>
      <c r="V15" s="388"/>
      <c r="W15" s="378"/>
      <c r="X15" s="378"/>
      <c r="Y15" s="385"/>
      <c r="Z15" s="385"/>
      <c r="AA15" s="385"/>
      <c r="AB15" s="385"/>
      <c r="AC15" s="385"/>
      <c r="AD15" s="385"/>
      <c r="AE15" s="385"/>
      <c r="AF15" s="390"/>
      <c r="AG15" s="389"/>
    </row>
    <row r="16" spans="1:33" s="387" customFormat="1" ht="38.25">
      <c r="A16" s="393" t="s">
        <v>810</v>
      </c>
      <c r="B16" s="393" t="s">
        <v>739</v>
      </c>
      <c r="C16" s="524" t="s">
        <v>794</v>
      </c>
      <c r="D16" s="386" t="s">
        <v>925</v>
      </c>
      <c r="E16" s="525" t="s">
        <v>926</v>
      </c>
      <c r="F16" s="386" t="s">
        <v>797</v>
      </c>
      <c r="G16" s="386" t="s">
        <v>898</v>
      </c>
      <c r="H16" s="381">
        <v>2</v>
      </c>
      <c r="I16" s="381">
        <v>10</v>
      </c>
      <c r="J16" s="381">
        <f t="shared" si="3"/>
        <v>2</v>
      </c>
      <c r="K16" s="633">
        <f t="shared" si="4"/>
        <v>20</v>
      </c>
      <c r="L16" s="634">
        <f>IFERROR(IF(B16="funkcna poziadavka",VLOOKUP(G16,MODULY_CBA!$B$3:$E$23,4,0)*H16/SUMIFS($H$3:$H$197,$G$3:$G$197,G16,$B$3:$B$197,B16),),)</f>
        <v>1.2272727272727273</v>
      </c>
      <c r="M16" s="633">
        <f>IFERROR(IF(B16="Funkcna poziadavka",VLOOKUP(G16,MODULY_CBA!$B$3:$E$23,3,0),),)</f>
        <v>0.99499999999999988</v>
      </c>
      <c r="N16" s="633">
        <f>IFERROR(IF(B16="funkcna poziadavka",VLOOKUP(G16,MODULY_CBA!$B$3:$E$23,2,0),),)</f>
        <v>0.99</v>
      </c>
      <c r="O16" s="634">
        <f t="shared" si="5"/>
        <v>22.118849999999998</v>
      </c>
      <c r="P16" s="635">
        <f>IFERROR(O16*VLOOKUP(G16,MODULY_CBA!$B$3:$F$23,5,0),)</f>
        <v>663.56549999999993</v>
      </c>
      <c r="Q16" s="471" t="str">
        <f>IFERROR(VLOOKUP(G16,MODULY_CBA!$B$3:$I$23,6,0),"")</f>
        <v>Inkrement 1</v>
      </c>
      <c r="R16" s="385"/>
      <c r="S16" s="385"/>
      <c r="T16" s="385"/>
      <c r="U16" s="385"/>
      <c r="V16" s="388"/>
      <c r="W16" s="378"/>
      <c r="X16" s="378"/>
      <c r="Y16" s="385"/>
      <c r="Z16" s="385"/>
      <c r="AA16" s="385"/>
      <c r="AB16" s="385"/>
      <c r="AC16" s="385"/>
      <c r="AD16" s="385"/>
      <c r="AE16" s="385"/>
      <c r="AF16" s="390"/>
      <c r="AG16" s="389"/>
    </row>
    <row r="17" spans="1:33" s="387" customFormat="1" ht="38.25">
      <c r="A17" s="393" t="s">
        <v>811</v>
      </c>
      <c r="B17" s="393" t="s">
        <v>739</v>
      </c>
      <c r="C17" s="524" t="s">
        <v>794</v>
      </c>
      <c r="D17" s="386" t="s">
        <v>927</v>
      </c>
      <c r="E17" s="525" t="s">
        <v>928</v>
      </c>
      <c r="F17" s="386" t="s">
        <v>797</v>
      </c>
      <c r="G17" s="386" t="s">
        <v>898</v>
      </c>
      <c r="H17" s="381">
        <v>2</v>
      </c>
      <c r="I17" s="381">
        <v>10</v>
      </c>
      <c r="J17" s="381">
        <f t="shared" si="3"/>
        <v>2</v>
      </c>
      <c r="K17" s="633">
        <f t="shared" si="4"/>
        <v>20</v>
      </c>
      <c r="L17" s="634">
        <f>IFERROR(IF(B17="funkcna poziadavka",VLOOKUP(G17,MODULY_CBA!$B$3:$E$23,4,0)*H17/SUMIFS($H$3:$H$197,$G$3:$G$197,G17,$B$3:$B$197,B17),),)</f>
        <v>1.2272727272727273</v>
      </c>
      <c r="M17" s="633">
        <f>IFERROR(IF(B17="Funkcna poziadavka",VLOOKUP(G17,MODULY_CBA!$B$3:$E$23,3,0),),)</f>
        <v>0.99499999999999988</v>
      </c>
      <c r="N17" s="633">
        <f>IFERROR(IF(B17="funkcna poziadavka",VLOOKUP(G17,MODULY_CBA!$B$3:$E$23,2,0),),)</f>
        <v>0.99</v>
      </c>
      <c r="O17" s="634">
        <f t="shared" si="5"/>
        <v>22.118849999999998</v>
      </c>
      <c r="P17" s="635">
        <f>IFERROR(O17*VLOOKUP(G17,MODULY_CBA!$B$3:$F$23,5,0),)</f>
        <v>663.56549999999993</v>
      </c>
      <c r="Q17" s="471" t="str">
        <f>IFERROR(VLOOKUP(G17,MODULY_CBA!$B$3:$I$23,6,0),"")</f>
        <v>Inkrement 1</v>
      </c>
      <c r="R17" s="385"/>
      <c r="S17" s="385"/>
      <c r="T17" s="385"/>
      <c r="U17" s="385"/>
      <c r="V17" s="388"/>
      <c r="W17" s="378"/>
      <c r="X17" s="378"/>
      <c r="Y17" s="385"/>
      <c r="Z17" s="385"/>
      <c r="AA17" s="385"/>
      <c r="AB17" s="385"/>
      <c r="AC17" s="385"/>
      <c r="AD17" s="385"/>
      <c r="AE17" s="385"/>
      <c r="AF17" s="390"/>
      <c r="AG17" s="389"/>
    </row>
    <row r="18" spans="1:33" s="387" customFormat="1" ht="38.25">
      <c r="A18" s="393" t="s">
        <v>812</v>
      </c>
      <c r="B18" s="393" t="s">
        <v>739</v>
      </c>
      <c r="C18" s="524" t="s">
        <v>794</v>
      </c>
      <c r="D18" s="386" t="s">
        <v>929</v>
      </c>
      <c r="E18" s="525" t="s">
        <v>930</v>
      </c>
      <c r="F18" s="386" t="s">
        <v>797</v>
      </c>
      <c r="G18" s="386" t="s">
        <v>898</v>
      </c>
      <c r="H18" s="381">
        <v>2</v>
      </c>
      <c r="I18" s="381">
        <v>10</v>
      </c>
      <c r="J18" s="381">
        <f t="shared" si="3"/>
        <v>2</v>
      </c>
      <c r="K18" s="633">
        <f t="shared" si="4"/>
        <v>20</v>
      </c>
      <c r="L18" s="634">
        <f>IFERROR(IF(B18="funkcna poziadavka",VLOOKUP(G18,MODULY_CBA!$B$3:$E$23,4,0)*H18/SUMIFS($H$3:$H$197,$G$3:$G$197,G18,$B$3:$B$197,B18),),)</f>
        <v>1.2272727272727273</v>
      </c>
      <c r="M18" s="633">
        <f>IFERROR(IF(B18="Funkcna poziadavka",VLOOKUP(G18,MODULY_CBA!$B$3:$E$23,3,0),),)</f>
        <v>0.99499999999999988</v>
      </c>
      <c r="N18" s="633">
        <f>IFERROR(IF(B18="funkcna poziadavka",VLOOKUP(G18,MODULY_CBA!$B$3:$E$23,2,0),),)</f>
        <v>0.99</v>
      </c>
      <c r="O18" s="634">
        <f t="shared" si="5"/>
        <v>22.118849999999998</v>
      </c>
      <c r="P18" s="635">
        <f>IFERROR(O18*VLOOKUP(G18,MODULY_CBA!$B$3:$F$23,5,0),)</f>
        <v>663.56549999999993</v>
      </c>
      <c r="Q18" s="471" t="str">
        <f>IFERROR(VLOOKUP(G18,MODULY_CBA!$B$3:$I$23,6,0),"")</f>
        <v>Inkrement 1</v>
      </c>
      <c r="R18" s="385"/>
      <c r="S18" s="385"/>
      <c r="T18" s="385"/>
      <c r="U18" s="385"/>
      <c r="V18" s="388"/>
      <c r="W18" s="378"/>
      <c r="X18" s="378"/>
      <c r="Y18" s="385"/>
      <c r="Z18" s="385"/>
      <c r="AA18" s="385"/>
      <c r="AB18" s="385"/>
      <c r="AC18" s="385"/>
      <c r="AD18" s="385"/>
      <c r="AE18" s="385"/>
      <c r="AF18" s="390"/>
      <c r="AG18" s="389"/>
    </row>
    <row r="19" spans="1:33" s="387" customFormat="1" ht="51">
      <c r="A19" s="393" t="s">
        <v>813</v>
      </c>
      <c r="B19" s="393" t="s">
        <v>739</v>
      </c>
      <c r="C19" s="524" t="s">
        <v>794</v>
      </c>
      <c r="D19" s="386" t="s">
        <v>931</v>
      </c>
      <c r="E19" s="525" t="s">
        <v>932</v>
      </c>
      <c r="F19" s="386" t="s">
        <v>797</v>
      </c>
      <c r="G19" s="386" t="s">
        <v>898</v>
      </c>
      <c r="H19" s="381">
        <v>2</v>
      </c>
      <c r="I19" s="381">
        <v>10</v>
      </c>
      <c r="J19" s="381">
        <f t="shared" si="3"/>
        <v>2</v>
      </c>
      <c r="K19" s="633">
        <f t="shared" si="4"/>
        <v>20</v>
      </c>
      <c r="L19" s="634">
        <f>IFERROR(IF(B19="funkcna poziadavka",VLOOKUP(G19,MODULY_CBA!$B$3:$E$23,4,0)*H19/SUMIFS($H$3:$H$197,$G$3:$G$197,G19,$B$3:$B$197,B19),),)</f>
        <v>1.2272727272727273</v>
      </c>
      <c r="M19" s="633">
        <f>IFERROR(IF(B19="Funkcna poziadavka",VLOOKUP(G19,MODULY_CBA!$B$3:$E$23,3,0),),)</f>
        <v>0.99499999999999988</v>
      </c>
      <c r="N19" s="633">
        <f>IFERROR(IF(B19="funkcna poziadavka",VLOOKUP(G19,MODULY_CBA!$B$3:$E$23,2,0),),)</f>
        <v>0.99</v>
      </c>
      <c r="O19" s="634">
        <f t="shared" si="5"/>
        <v>22.118849999999998</v>
      </c>
      <c r="P19" s="635">
        <f>IFERROR(O19*VLOOKUP(G19,MODULY_CBA!$B$3:$F$23,5,0),)</f>
        <v>663.56549999999993</v>
      </c>
      <c r="Q19" s="471" t="str">
        <f>IFERROR(VLOOKUP(G19,MODULY_CBA!$B$3:$I$23,6,0),"")</f>
        <v>Inkrement 1</v>
      </c>
      <c r="R19" s="385"/>
      <c r="S19" s="385"/>
      <c r="T19" s="385"/>
      <c r="U19" s="385"/>
      <c r="V19" s="388"/>
      <c r="W19" s="378"/>
      <c r="X19" s="378"/>
      <c r="Y19" s="385"/>
      <c r="Z19" s="385"/>
      <c r="AA19" s="385"/>
      <c r="AB19" s="385"/>
      <c r="AC19" s="385"/>
      <c r="AD19" s="385"/>
      <c r="AE19" s="385"/>
      <c r="AF19" s="390"/>
      <c r="AG19" s="389"/>
    </row>
    <row r="20" spans="1:33" s="387" customFormat="1" ht="38.25">
      <c r="A20" s="393" t="s">
        <v>814</v>
      </c>
      <c r="B20" s="393" t="s">
        <v>739</v>
      </c>
      <c r="C20" s="524" t="s">
        <v>794</v>
      </c>
      <c r="D20" s="386" t="s">
        <v>933</v>
      </c>
      <c r="E20" s="525" t="s">
        <v>934</v>
      </c>
      <c r="F20" s="386" t="s">
        <v>797</v>
      </c>
      <c r="G20" s="386" t="s">
        <v>898</v>
      </c>
      <c r="H20" s="381">
        <v>2</v>
      </c>
      <c r="I20" s="381">
        <v>10</v>
      </c>
      <c r="J20" s="381">
        <f t="shared" si="3"/>
        <v>2</v>
      </c>
      <c r="K20" s="633">
        <f t="shared" si="4"/>
        <v>20</v>
      </c>
      <c r="L20" s="634">
        <f>IFERROR(IF(B20="funkcna poziadavka",VLOOKUP(G20,MODULY_CBA!$B$3:$E$23,4,0)*H20/SUMIFS($H$3:$H$197,$G$3:$G$197,G20,$B$3:$B$197,B20),),)</f>
        <v>1.2272727272727273</v>
      </c>
      <c r="M20" s="633">
        <f>IFERROR(IF(B20="Funkcna poziadavka",VLOOKUP(G20,MODULY_CBA!$B$3:$E$23,3,0),),)</f>
        <v>0.99499999999999988</v>
      </c>
      <c r="N20" s="633">
        <f>IFERROR(IF(B20="funkcna poziadavka",VLOOKUP(G20,MODULY_CBA!$B$3:$E$23,2,0),),)</f>
        <v>0.99</v>
      </c>
      <c r="O20" s="634">
        <f t="shared" si="5"/>
        <v>22.118849999999998</v>
      </c>
      <c r="P20" s="635">
        <f>IFERROR(O20*VLOOKUP(G20,MODULY_CBA!$B$3:$F$23,5,0),)</f>
        <v>663.56549999999993</v>
      </c>
      <c r="Q20" s="471" t="str">
        <f>IFERROR(VLOOKUP(G20,MODULY_CBA!$B$3:$I$23,6,0),"")</f>
        <v>Inkrement 1</v>
      </c>
      <c r="R20" s="385"/>
      <c r="S20" s="385"/>
      <c r="T20" s="385"/>
      <c r="U20" s="385"/>
      <c r="V20" s="388"/>
      <c r="W20" s="378"/>
      <c r="X20" s="378"/>
      <c r="Y20" s="385"/>
      <c r="Z20" s="385"/>
      <c r="AA20" s="385"/>
      <c r="AB20" s="385"/>
      <c r="AC20" s="385"/>
      <c r="AD20" s="385"/>
      <c r="AE20" s="385"/>
      <c r="AF20" s="390"/>
      <c r="AG20" s="389"/>
    </row>
    <row r="21" spans="1:33" s="387" customFormat="1" ht="38.25">
      <c r="A21" s="393" t="s">
        <v>815</v>
      </c>
      <c r="B21" s="393" t="s">
        <v>739</v>
      </c>
      <c r="C21" s="524" t="s">
        <v>794</v>
      </c>
      <c r="D21" s="386" t="s">
        <v>935</v>
      </c>
      <c r="E21" s="525" t="s">
        <v>936</v>
      </c>
      <c r="F21" s="386" t="s">
        <v>797</v>
      </c>
      <c r="G21" s="386" t="s">
        <v>898</v>
      </c>
      <c r="H21" s="381">
        <v>2</v>
      </c>
      <c r="I21" s="381">
        <v>10</v>
      </c>
      <c r="J21" s="381">
        <f t="shared" si="3"/>
        <v>2</v>
      </c>
      <c r="K21" s="633">
        <f t="shared" si="4"/>
        <v>20</v>
      </c>
      <c r="L21" s="634">
        <f>IFERROR(IF(B21="funkcna poziadavka",VLOOKUP(G21,MODULY_CBA!$B$3:$E$23,4,0)*H21/SUMIFS($H$3:$H$197,$G$3:$G$197,G21,$B$3:$B$197,B21),),)</f>
        <v>1.2272727272727273</v>
      </c>
      <c r="M21" s="633">
        <f>IFERROR(IF(B21="Funkcna poziadavka",VLOOKUP(G21,MODULY_CBA!$B$3:$E$23,3,0),),)</f>
        <v>0.99499999999999988</v>
      </c>
      <c r="N21" s="633">
        <f>IFERROR(IF(B21="funkcna poziadavka",VLOOKUP(G21,MODULY_CBA!$B$3:$E$23,2,0),),)</f>
        <v>0.99</v>
      </c>
      <c r="O21" s="634">
        <f t="shared" si="5"/>
        <v>22.118849999999998</v>
      </c>
      <c r="P21" s="635">
        <f>IFERROR(O21*VLOOKUP(G21,MODULY_CBA!$B$3:$F$23,5,0),)</f>
        <v>663.56549999999993</v>
      </c>
      <c r="Q21" s="471" t="str">
        <f>IFERROR(VLOOKUP(G21,MODULY_CBA!$B$3:$I$23,6,0),"")</f>
        <v>Inkrement 1</v>
      </c>
      <c r="R21" s="385"/>
      <c r="S21" s="385"/>
      <c r="T21" s="385"/>
      <c r="U21" s="385"/>
      <c r="V21" s="388"/>
      <c r="W21" s="378"/>
      <c r="X21" s="378"/>
      <c r="Y21" s="385"/>
      <c r="Z21" s="385"/>
      <c r="AA21" s="385"/>
      <c r="AB21" s="385"/>
      <c r="AC21" s="385"/>
      <c r="AD21" s="385"/>
      <c r="AE21" s="385"/>
      <c r="AF21" s="390"/>
      <c r="AG21" s="389"/>
    </row>
    <row r="22" spans="1:33" s="387" customFormat="1" ht="38.25">
      <c r="A22" s="393" t="s">
        <v>816</v>
      </c>
      <c r="B22" s="393" t="s">
        <v>739</v>
      </c>
      <c r="C22" s="524" t="s">
        <v>794</v>
      </c>
      <c r="D22" s="386" t="s">
        <v>937</v>
      </c>
      <c r="E22" s="525" t="s">
        <v>938</v>
      </c>
      <c r="F22" s="386" t="s">
        <v>797</v>
      </c>
      <c r="G22" s="386" t="s">
        <v>898</v>
      </c>
      <c r="H22" s="381">
        <v>2</v>
      </c>
      <c r="I22" s="381">
        <v>10</v>
      </c>
      <c r="J22" s="381">
        <f t="shared" si="3"/>
        <v>2</v>
      </c>
      <c r="K22" s="633">
        <f t="shared" si="4"/>
        <v>20</v>
      </c>
      <c r="L22" s="634">
        <f>IFERROR(IF(B22="funkcna poziadavka",VLOOKUP(G22,MODULY_CBA!$B$3:$E$23,4,0)*H22/SUMIFS($H$3:$H$197,$G$3:$G$197,G22,$B$3:$B$197,B22),),)</f>
        <v>1.2272727272727273</v>
      </c>
      <c r="M22" s="633">
        <f>IFERROR(IF(B22="Funkcna poziadavka",VLOOKUP(G22,MODULY_CBA!$B$3:$E$23,3,0),),)</f>
        <v>0.99499999999999988</v>
      </c>
      <c r="N22" s="633">
        <f>IFERROR(IF(B22="funkcna poziadavka",VLOOKUP(G22,MODULY_CBA!$B$3:$E$23,2,0),),)</f>
        <v>0.99</v>
      </c>
      <c r="O22" s="634">
        <f t="shared" si="5"/>
        <v>22.118849999999998</v>
      </c>
      <c r="P22" s="635">
        <f>IFERROR(O22*VLOOKUP(G22,MODULY_CBA!$B$3:$F$23,5,0),)</f>
        <v>663.56549999999993</v>
      </c>
      <c r="Q22" s="471" t="str">
        <f>IFERROR(VLOOKUP(G22,MODULY_CBA!$B$3:$I$23,6,0),"")</f>
        <v>Inkrement 1</v>
      </c>
      <c r="R22" s="385"/>
      <c r="S22" s="385"/>
      <c r="T22" s="385"/>
      <c r="U22" s="385"/>
      <c r="V22" s="388"/>
      <c r="W22" s="378"/>
      <c r="X22" s="378"/>
      <c r="Y22" s="385"/>
      <c r="Z22" s="385"/>
      <c r="AA22" s="385"/>
      <c r="AB22" s="385"/>
      <c r="AC22" s="385"/>
      <c r="AD22" s="385"/>
      <c r="AE22" s="385"/>
      <c r="AF22" s="390"/>
      <c r="AG22" s="389"/>
    </row>
    <row r="23" spans="1:33" s="387" customFormat="1" ht="38.25">
      <c r="A23" s="393" t="s">
        <v>817</v>
      </c>
      <c r="B23" s="393" t="s">
        <v>739</v>
      </c>
      <c r="C23" s="524" t="s">
        <v>794</v>
      </c>
      <c r="D23" s="386" t="s">
        <v>939</v>
      </c>
      <c r="E23" s="525" t="s">
        <v>940</v>
      </c>
      <c r="F23" s="386" t="s">
        <v>797</v>
      </c>
      <c r="G23" s="386" t="s">
        <v>898</v>
      </c>
      <c r="H23" s="381">
        <v>2</v>
      </c>
      <c r="I23" s="381">
        <v>10</v>
      </c>
      <c r="J23" s="381">
        <f t="shared" si="3"/>
        <v>2</v>
      </c>
      <c r="K23" s="633">
        <f t="shared" si="4"/>
        <v>20</v>
      </c>
      <c r="L23" s="634">
        <f>IFERROR(IF(B23="funkcna poziadavka",VLOOKUP(G23,MODULY_CBA!$B$3:$E$23,4,0)*H23/SUMIFS($H$3:$H$197,$G$3:$G$197,G23,$B$3:$B$197,B23),),)</f>
        <v>1.2272727272727273</v>
      </c>
      <c r="M23" s="633">
        <f>IFERROR(IF(B23="Funkcna poziadavka",VLOOKUP(G23,MODULY_CBA!$B$3:$E$23,3,0),),)</f>
        <v>0.99499999999999988</v>
      </c>
      <c r="N23" s="633">
        <f>IFERROR(IF(B23="funkcna poziadavka",VLOOKUP(G23,MODULY_CBA!$B$3:$E$23,2,0),),)</f>
        <v>0.99</v>
      </c>
      <c r="O23" s="634">
        <f t="shared" si="5"/>
        <v>22.118849999999998</v>
      </c>
      <c r="P23" s="635">
        <f>IFERROR(O23*VLOOKUP(G23,MODULY_CBA!$B$3:$F$23,5,0),)</f>
        <v>663.56549999999993</v>
      </c>
      <c r="Q23" s="471" t="str">
        <f>IFERROR(VLOOKUP(G23,MODULY_CBA!$B$3:$I$23,6,0),"")</f>
        <v>Inkrement 1</v>
      </c>
      <c r="R23" s="385"/>
      <c r="S23" s="385"/>
      <c r="T23" s="385"/>
      <c r="U23" s="385"/>
      <c r="V23" s="388"/>
      <c r="W23" s="378"/>
      <c r="X23" s="378"/>
      <c r="Y23" s="385"/>
      <c r="Z23" s="385"/>
      <c r="AA23" s="385"/>
      <c r="AB23" s="385"/>
      <c r="AC23" s="385"/>
      <c r="AD23" s="385"/>
      <c r="AE23" s="385"/>
      <c r="AF23" s="390"/>
      <c r="AG23" s="389"/>
    </row>
    <row r="24" spans="1:33" s="387" customFormat="1" ht="51">
      <c r="A24" s="393" t="s">
        <v>818</v>
      </c>
      <c r="B24" s="393" t="s">
        <v>739</v>
      </c>
      <c r="C24" s="524" t="s">
        <v>794</v>
      </c>
      <c r="D24" s="386" t="s">
        <v>941</v>
      </c>
      <c r="E24" s="525" t="s">
        <v>942</v>
      </c>
      <c r="F24" s="386" t="s">
        <v>797</v>
      </c>
      <c r="G24" s="386" t="s">
        <v>898</v>
      </c>
      <c r="H24" s="381">
        <v>2</v>
      </c>
      <c r="I24" s="381">
        <v>10</v>
      </c>
      <c r="J24" s="381">
        <f t="shared" si="3"/>
        <v>2</v>
      </c>
      <c r="K24" s="633">
        <f t="shared" si="4"/>
        <v>20</v>
      </c>
      <c r="L24" s="634">
        <f>IFERROR(IF(B24="funkcna poziadavka",VLOOKUP(G24,MODULY_CBA!$B$3:$E$23,4,0)*H24/SUMIFS($H$3:$H$197,$G$3:$G$197,G24,$B$3:$B$197,B24),),)</f>
        <v>1.2272727272727273</v>
      </c>
      <c r="M24" s="633">
        <f>IFERROR(IF(B24="Funkcna poziadavka",VLOOKUP(G24,MODULY_CBA!$B$3:$E$23,3,0),),)</f>
        <v>0.99499999999999988</v>
      </c>
      <c r="N24" s="633">
        <f>IFERROR(IF(B24="funkcna poziadavka",VLOOKUP(G24,MODULY_CBA!$B$3:$E$23,2,0),),)</f>
        <v>0.99</v>
      </c>
      <c r="O24" s="634">
        <f t="shared" si="5"/>
        <v>22.118849999999998</v>
      </c>
      <c r="P24" s="635">
        <f>IFERROR(O24*VLOOKUP(G24,MODULY_CBA!$B$3:$F$23,5,0),)</f>
        <v>663.56549999999993</v>
      </c>
      <c r="Q24" s="471" t="str">
        <f>IFERROR(VLOOKUP(G24,MODULY_CBA!$B$3:$I$23,6,0),"")</f>
        <v>Inkrement 1</v>
      </c>
      <c r="R24" s="385"/>
      <c r="S24" s="385"/>
      <c r="T24" s="385"/>
      <c r="U24" s="385"/>
      <c r="V24" s="388"/>
      <c r="W24" s="378"/>
      <c r="X24" s="378"/>
      <c r="Y24" s="385"/>
      <c r="Z24" s="385"/>
      <c r="AA24" s="385"/>
      <c r="AB24" s="385"/>
      <c r="AC24" s="385"/>
      <c r="AD24" s="385"/>
      <c r="AE24" s="385"/>
      <c r="AF24" s="390"/>
      <c r="AG24" s="389"/>
    </row>
    <row r="25" spans="1:33" s="387" customFormat="1" ht="51">
      <c r="A25" s="393" t="s">
        <v>819</v>
      </c>
      <c r="B25" s="393" t="s">
        <v>739</v>
      </c>
      <c r="C25" s="524" t="s">
        <v>794</v>
      </c>
      <c r="D25" s="386" t="s">
        <v>944</v>
      </c>
      <c r="E25" s="525" t="s">
        <v>945</v>
      </c>
      <c r="F25" s="386" t="s">
        <v>797</v>
      </c>
      <c r="G25" s="386" t="s">
        <v>943</v>
      </c>
      <c r="H25" s="381">
        <v>1</v>
      </c>
      <c r="I25" s="381">
        <v>10</v>
      </c>
      <c r="J25" s="381">
        <f t="shared" si="3"/>
        <v>1</v>
      </c>
      <c r="K25" s="633">
        <f t="shared" si="4"/>
        <v>10</v>
      </c>
      <c r="L25" s="634">
        <f>IFERROR(IF(B25="funkcna poziadavka",VLOOKUP(G25,MODULY_CBA!$B$3:$E$23,4,0)*H25/SUMIFS($H$3:$H$197,$G$3:$G$197,G25,$B$3:$B$197,B25),),)</f>
        <v>3.375</v>
      </c>
      <c r="M25" s="633">
        <f>IFERROR(IF(B25="Funkcna poziadavka",VLOOKUP(G25,MODULY_CBA!$B$3:$E$23,3,0),),)</f>
        <v>0.99499999999999988</v>
      </c>
      <c r="N25" s="633">
        <f>IFERROR(IF(B25="funkcna poziadavka",VLOOKUP(G25,MODULY_CBA!$B$3:$E$23,2,0),),)</f>
        <v>0.99</v>
      </c>
      <c r="O25" s="634">
        <f t="shared" si="5"/>
        <v>13.175043749999999</v>
      </c>
      <c r="P25" s="635">
        <f>IFERROR(O25*VLOOKUP(G25,MODULY_CBA!$B$3:$F$23,5,0),)</f>
        <v>395.25131249999998</v>
      </c>
      <c r="Q25" s="471" t="str">
        <f>IFERROR(VLOOKUP(G25,MODULY_CBA!$B$3:$I$23,6,0),"")</f>
        <v>Inkrement 1</v>
      </c>
      <c r="R25" s="385"/>
      <c r="S25" s="385"/>
      <c r="T25" s="385"/>
      <c r="U25" s="385"/>
      <c r="V25" s="388"/>
      <c r="W25" s="378"/>
      <c r="X25" s="378"/>
      <c r="Y25" s="385"/>
      <c r="Z25" s="385"/>
      <c r="AA25" s="385"/>
      <c r="AB25" s="385"/>
      <c r="AC25" s="385"/>
      <c r="AD25" s="385"/>
      <c r="AE25" s="385"/>
      <c r="AF25" s="390"/>
      <c r="AG25" s="389"/>
    </row>
    <row r="26" spans="1:33" s="387" customFormat="1" ht="38.25">
      <c r="A26" s="393" t="s">
        <v>820</v>
      </c>
      <c r="B26" s="393" t="s">
        <v>739</v>
      </c>
      <c r="C26" s="524" t="s">
        <v>794</v>
      </c>
      <c r="D26" s="386" t="s">
        <v>946</v>
      </c>
      <c r="E26" s="525" t="s">
        <v>947</v>
      </c>
      <c r="F26" s="386" t="s">
        <v>797</v>
      </c>
      <c r="G26" s="386" t="s">
        <v>943</v>
      </c>
      <c r="H26" s="381">
        <v>1</v>
      </c>
      <c r="I26" s="381">
        <v>10</v>
      </c>
      <c r="J26" s="381">
        <f t="shared" si="3"/>
        <v>1</v>
      </c>
      <c r="K26" s="633">
        <f t="shared" si="4"/>
        <v>10</v>
      </c>
      <c r="L26" s="634">
        <f>IFERROR(IF(B26="funkcna poziadavka",VLOOKUP(G26,MODULY_CBA!$B$3:$E$23,4,0)*H26/SUMIFS($H$3:$H$197,$G$3:$G$197,G26,$B$3:$B$197,B26),),)</f>
        <v>3.375</v>
      </c>
      <c r="M26" s="633">
        <f>IFERROR(IF(B26="Funkcna poziadavka",VLOOKUP(G26,MODULY_CBA!$B$3:$E$23,3,0),),)</f>
        <v>0.99499999999999988</v>
      </c>
      <c r="N26" s="633">
        <f>IFERROR(IF(B26="funkcna poziadavka",VLOOKUP(G26,MODULY_CBA!$B$3:$E$23,2,0),),)</f>
        <v>0.99</v>
      </c>
      <c r="O26" s="634">
        <f t="shared" si="5"/>
        <v>13.175043749999999</v>
      </c>
      <c r="P26" s="635">
        <f>IFERROR(O26*VLOOKUP(G26,MODULY_CBA!$B$3:$F$23,5,0),)</f>
        <v>395.25131249999998</v>
      </c>
      <c r="Q26" s="471" t="str">
        <f>IFERROR(VLOOKUP(G26,MODULY_CBA!$B$3:$I$23,6,0),"")</f>
        <v>Inkrement 1</v>
      </c>
      <c r="R26" s="385"/>
      <c r="S26" s="385"/>
      <c r="T26" s="385"/>
      <c r="U26" s="385"/>
      <c r="V26" s="388"/>
      <c r="W26" s="378"/>
      <c r="X26" s="378"/>
      <c r="Y26" s="385"/>
      <c r="Z26" s="385"/>
      <c r="AA26" s="385"/>
      <c r="AB26" s="385"/>
      <c r="AC26" s="385"/>
      <c r="AD26" s="385"/>
      <c r="AE26" s="385"/>
      <c r="AF26" s="390"/>
      <c r="AG26" s="389"/>
    </row>
    <row r="27" spans="1:33" s="387" customFormat="1" ht="38.25">
      <c r="A27" s="393" t="s">
        <v>821</v>
      </c>
      <c r="B27" s="393" t="s">
        <v>739</v>
      </c>
      <c r="C27" s="524" t="s">
        <v>794</v>
      </c>
      <c r="D27" s="386" t="s">
        <v>948</v>
      </c>
      <c r="E27" s="525" t="s">
        <v>949</v>
      </c>
      <c r="F27" s="386" t="s">
        <v>797</v>
      </c>
      <c r="G27" s="386" t="s">
        <v>943</v>
      </c>
      <c r="H27" s="381">
        <v>1</v>
      </c>
      <c r="I27" s="381">
        <v>10</v>
      </c>
      <c r="J27" s="381">
        <f t="shared" si="3"/>
        <v>1</v>
      </c>
      <c r="K27" s="633">
        <f t="shared" si="4"/>
        <v>10</v>
      </c>
      <c r="L27" s="634">
        <f>IFERROR(IF(B27="funkcna poziadavka",VLOOKUP(G27,MODULY_CBA!$B$3:$E$23,4,0)*H27/SUMIFS($H$3:$H$197,$G$3:$G$197,G27,$B$3:$B$197,B27),),)</f>
        <v>3.375</v>
      </c>
      <c r="M27" s="633">
        <f>IFERROR(IF(B27="Funkcna poziadavka",VLOOKUP(G27,MODULY_CBA!$B$3:$E$23,3,0),),)</f>
        <v>0.99499999999999988</v>
      </c>
      <c r="N27" s="633">
        <f>IFERROR(IF(B27="funkcna poziadavka",VLOOKUP(G27,MODULY_CBA!$B$3:$E$23,2,0),),)</f>
        <v>0.99</v>
      </c>
      <c r="O27" s="634">
        <f t="shared" si="5"/>
        <v>13.175043749999999</v>
      </c>
      <c r="P27" s="635">
        <f>IFERROR(O27*VLOOKUP(G27,MODULY_CBA!$B$3:$F$23,5,0),)</f>
        <v>395.25131249999998</v>
      </c>
      <c r="Q27" s="471" t="str">
        <f>IFERROR(VLOOKUP(G27,MODULY_CBA!$B$3:$I$23,6,0),"")</f>
        <v>Inkrement 1</v>
      </c>
      <c r="R27" s="385"/>
      <c r="S27" s="385"/>
      <c r="T27" s="385"/>
      <c r="U27" s="385"/>
      <c r="V27" s="388"/>
      <c r="W27" s="378"/>
      <c r="X27" s="378"/>
      <c r="Y27" s="385"/>
      <c r="Z27" s="385"/>
      <c r="AA27" s="385"/>
      <c r="AB27" s="385"/>
      <c r="AC27" s="385"/>
      <c r="AD27" s="385"/>
      <c r="AE27" s="385"/>
      <c r="AF27" s="390"/>
      <c r="AG27" s="389"/>
    </row>
    <row r="28" spans="1:33" s="387" customFormat="1" ht="38.25">
      <c r="A28" s="393" t="s">
        <v>822</v>
      </c>
      <c r="B28" s="393" t="s">
        <v>739</v>
      </c>
      <c r="C28" s="524" t="s">
        <v>794</v>
      </c>
      <c r="D28" s="386" t="s">
        <v>950</v>
      </c>
      <c r="E28" s="525" t="s">
        <v>951</v>
      </c>
      <c r="F28" s="386" t="s">
        <v>797</v>
      </c>
      <c r="G28" s="386" t="s">
        <v>943</v>
      </c>
      <c r="H28" s="381">
        <v>1</v>
      </c>
      <c r="I28" s="381">
        <v>10</v>
      </c>
      <c r="J28" s="381">
        <f t="shared" si="3"/>
        <v>1</v>
      </c>
      <c r="K28" s="633">
        <f t="shared" si="4"/>
        <v>10</v>
      </c>
      <c r="L28" s="634">
        <f>IFERROR(IF(B28="funkcna poziadavka",VLOOKUP(G28,MODULY_CBA!$B$3:$E$23,4,0)*H28/SUMIFS($H$3:$H$197,$G$3:$G$197,G28,$B$3:$B$197,B28),),)</f>
        <v>3.375</v>
      </c>
      <c r="M28" s="633">
        <f>IFERROR(IF(B28="Funkcna poziadavka",VLOOKUP(G28,MODULY_CBA!$B$3:$E$23,3,0),),)</f>
        <v>0.99499999999999988</v>
      </c>
      <c r="N28" s="633">
        <f>IFERROR(IF(B28="funkcna poziadavka",VLOOKUP(G28,MODULY_CBA!$B$3:$E$23,2,0),),)</f>
        <v>0.99</v>
      </c>
      <c r="O28" s="634">
        <f t="shared" si="5"/>
        <v>13.175043749999999</v>
      </c>
      <c r="P28" s="635">
        <f>IFERROR(O28*VLOOKUP(G28,MODULY_CBA!$B$3:$F$23,5,0),)</f>
        <v>395.25131249999998</v>
      </c>
      <c r="Q28" s="471" t="str">
        <f>IFERROR(VLOOKUP(G28,MODULY_CBA!$B$3:$I$23,6,0),"")</f>
        <v>Inkrement 1</v>
      </c>
      <c r="R28" s="385"/>
      <c r="S28" s="385"/>
      <c r="T28" s="385"/>
      <c r="U28" s="385"/>
      <c r="V28" s="388"/>
      <c r="W28" s="378"/>
      <c r="X28" s="378"/>
      <c r="Y28" s="385"/>
      <c r="Z28" s="385"/>
      <c r="AA28" s="385"/>
      <c r="AB28" s="385"/>
      <c r="AC28" s="385"/>
      <c r="AD28" s="385"/>
      <c r="AE28" s="385"/>
      <c r="AF28" s="390"/>
      <c r="AG28" s="389"/>
    </row>
    <row r="29" spans="1:33" s="387" customFormat="1" ht="38.25">
      <c r="A29" s="393" t="s">
        <v>823</v>
      </c>
      <c r="B29" s="393" t="s">
        <v>739</v>
      </c>
      <c r="C29" s="524" t="s">
        <v>794</v>
      </c>
      <c r="D29" s="386" t="s">
        <v>952</v>
      </c>
      <c r="E29" s="525" t="s">
        <v>953</v>
      </c>
      <c r="F29" s="386" t="s">
        <v>797</v>
      </c>
      <c r="G29" s="386" t="s">
        <v>943</v>
      </c>
      <c r="H29" s="381">
        <v>1</v>
      </c>
      <c r="I29" s="381">
        <v>10</v>
      </c>
      <c r="J29" s="381">
        <f t="shared" si="3"/>
        <v>1</v>
      </c>
      <c r="K29" s="633">
        <f t="shared" si="4"/>
        <v>10</v>
      </c>
      <c r="L29" s="634">
        <f>IFERROR(IF(B29="funkcna poziadavka",VLOOKUP(G29,MODULY_CBA!$B$3:$E$23,4,0)*H29/SUMIFS($H$3:$H$197,$G$3:$G$197,G29,$B$3:$B$197,B29),),)</f>
        <v>3.375</v>
      </c>
      <c r="M29" s="633">
        <f>IFERROR(IF(B29="Funkcna poziadavka",VLOOKUP(G29,MODULY_CBA!$B$3:$E$23,3,0),),)</f>
        <v>0.99499999999999988</v>
      </c>
      <c r="N29" s="633">
        <f>IFERROR(IF(B29="funkcna poziadavka",VLOOKUP(G29,MODULY_CBA!$B$3:$E$23,2,0),),)</f>
        <v>0.99</v>
      </c>
      <c r="O29" s="634">
        <f t="shared" si="5"/>
        <v>13.175043749999999</v>
      </c>
      <c r="P29" s="635">
        <f>IFERROR(O29*VLOOKUP(G29,MODULY_CBA!$B$3:$F$23,5,0),)</f>
        <v>395.25131249999998</v>
      </c>
      <c r="Q29" s="471" t="str">
        <f>IFERROR(VLOOKUP(G29,MODULY_CBA!$B$3:$I$23,6,0),"")</f>
        <v>Inkrement 1</v>
      </c>
      <c r="R29" s="385"/>
      <c r="S29" s="385"/>
      <c r="T29" s="385"/>
      <c r="U29" s="385"/>
      <c r="V29" s="388"/>
      <c r="W29" s="378"/>
      <c r="X29" s="378"/>
      <c r="Y29" s="385"/>
      <c r="Z29" s="385"/>
      <c r="AA29" s="385"/>
      <c r="AB29" s="385"/>
      <c r="AC29" s="385"/>
      <c r="AD29" s="385"/>
      <c r="AE29" s="385"/>
      <c r="AF29" s="390"/>
      <c r="AG29" s="389"/>
    </row>
    <row r="30" spans="1:33" s="387" customFormat="1" ht="38.25">
      <c r="A30" s="393" t="s">
        <v>824</v>
      </c>
      <c r="B30" s="393" t="s">
        <v>739</v>
      </c>
      <c r="C30" s="524" t="s">
        <v>794</v>
      </c>
      <c r="D30" s="386" t="s">
        <v>954</v>
      </c>
      <c r="E30" s="525" t="s">
        <v>955</v>
      </c>
      <c r="F30" s="386" t="s">
        <v>797</v>
      </c>
      <c r="G30" s="386" t="s">
        <v>943</v>
      </c>
      <c r="H30" s="381">
        <v>1</v>
      </c>
      <c r="I30" s="381">
        <v>10</v>
      </c>
      <c r="J30" s="381">
        <f t="shared" si="3"/>
        <v>1</v>
      </c>
      <c r="K30" s="633">
        <f t="shared" si="4"/>
        <v>10</v>
      </c>
      <c r="L30" s="634">
        <f>IFERROR(IF(B30="funkcna poziadavka",VLOOKUP(G30,MODULY_CBA!$B$3:$E$23,4,0)*H30/SUMIFS($H$3:$H$197,$G$3:$G$197,G30,$B$3:$B$197,B30),),)</f>
        <v>3.375</v>
      </c>
      <c r="M30" s="633">
        <f>IFERROR(IF(B30="Funkcna poziadavka",VLOOKUP(G30,MODULY_CBA!$B$3:$E$23,3,0),),)</f>
        <v>0.99499999999999988</v>
      </c>
      <c r="N30" s="633">
        <f>IFERROR(IF(B30="funkcna poziadavka",VLOOKUP(G30,MODULY_CBA!$B$3:$E$23,2,0),),)</f>
        <v>0.99</v>
      </c>
      <c r="O30" s="634">
        <f t="shared" si="5"/>
        <v>13.175043749999999</v>
      </c>
      <c r="P30" s="635">
        <f>IFERROR(O30*VLOOKUP(G30,MODULY_CBA!$B$3:$F$23,5,0),)</f>
        <v>395.25131249999998</v>
      </c>
      <c r="Q30" s="471" t="str">
        <f>IFERROR(VLOOKUP(G30,MODULY_CBA!$B$3:$I$23,6,0),"")</f>
        <v>Inkrement 1</v>
      </c>
      <c r="R30" s="385"/>
      <c r="S30" s="385"/>
      <c r="T30" s="385"/>
      <c r="U30" s="385"/>
      <c r="V30" s="388"/>
      <c r="W30" s="378"/>
      <c r="X30" s="378"/>
      <c r="Y30" s="385"/>
      <c r="Z30" s="385"/>
      <c r="AA30" s="385"/>
      <c r="AB30" s="385"/>
      <c r="AC30" s="385"/>
      <c r="AD30" s="385"/>
      <c r="AE30" s="385"/>
      <c r="AF30" s="390"/>
      <c r="AG30" s="389"/>
    </row>
    <row r="31" spans="1:33" s="387" customFormat="1" ht="38.25">
      <c r="A31" s="393" t="s">
        <v>825</v>
      </c>
      <c r="B31" s="393" t="s">
        <v>739</v>
      </c>
      <c r="C31" s="524" t="s">
        <v>794</v>
      </c>
      <c r="D31" s="386" t="s">
        <v>956</v>
      </c>
      <c r="E31" s="525" t="s">
        <v>957</v>
      </c>
      <c r="F31" s="386" t="s">
        <v>797</v>
      </c>
      <c r="G31" s="386" t="s">
        <v>943</v>
      </c>
      <c r="H31" s="381">
        <v>1</v>
      </c>
      <c r="I31" s="381">
        <v>10</v>
      </c>
      <c r="J31" s="381">
        <f t="shared" si="3"/>
        <v>1</v>
      </c>
      <c r="K31" s="633">
        <f t="shared" si="4"/>
        <v>10</v>
      </c>
      <c r="L31" s="634">
        <f>IFERROR(IF(B31="funkcna poziadavka",VLOOKUP(G31,MODULY_CBA!$B$3:$E$23,4,0)*H31/SUMIFS($H$3:$H$197,$G$3:$G$197,G31,$B$3:$B$197,B31),),)</f>
        <v>3.375</v>
      </c>
      <c r="M31" s="633">
        <f>IFERROR(IF(B31="Funkcna poziadavka",VLOOKUP(G31,MODULY_CBA!$B$3:$E$23,3,0),),)</f>
        <v>0.99499999999999988</v>
      </c>
      <c r="N31" s="633">
        <f>IFERROR(IF(B31="funkcna poziadavka",VLOOKUP(G31,MODULY_CBA!$B$3:$E$23,2,0),),)</f>
        <v>0.99</v>
      </c>
      <c r="O31" s="634">
        <f t="shared" si="5"/>
        <v>13.175043749999999</v>
      </c>
      <c r="P31" s="635">
        <f>IFERROR(O31*VLOOKUP(G31,MODULY_CBA!$B$3:$F$23,5,0),)</f>
        <v>395.25131249999998</v>
      </c>
      <c r="Q31" s="471" t="str">
        <f>IFERROR(VLOOKUP(G31,MODULY_CBA!$B$3:$I$23,6,0),"")</f>
        <v>Inkrement 1</v>
      </c>
      <c r="R31" s="385"/>
      <c r="S31" s="385"/>
      <c r="T31" s="385"/>
      <c r="U31" s="385"/>
      <c r="V31" s="388"/>
      <c r="W31" s="378"/>
      <c r="X31" s="378"/>
      <c r="Y31" s="385"/>
      <c r="Z31" s="385"/>
      <c r="AA31" s="385"/>
      <c r="AB31" s="385"/>
      <c r="AC31" s="385"/>
      <c r="AD31" s="385"/>
      <c r="AE31" s="385"/>
      <c r="AF31" s="390"/>
      <c r="AG31" s="389"/>
    </row>
    <row r="32" spans="1:33" s="387" customFormat="1" ht="38.25">
      <c r="A32" s="393" t="s">
        <v>826</v>
      </c>
      <c r="B32" s="393" t="s">
        <v>739</v>
      </c>
      <c r="C32" s="524" t="s">
        <v>794</v>
      </c>
      <c r="D32" s="386" t="s">
        <v>958</v>
      </c>
      <c r="E32" s="525" t="s">
        <v>959</v>
      </c>
      <c r="F32" s="386" t="s">
        <v>797</v>
      </c>
      <c r="G32" s="386" t="s">
        <v>943</v>
      </c>
      <c r="H32" s="381">
        <v>1</v>
      </c>
      <c r="I32" s="381">
        <v>10</v>
      </c>
      <c r="J32" s="381">
        <f t="shared" si="3"/>
        <v>1</v>
      </c>
      <c r="K32" s="633">
        <f t="shared" si="4"/>
        <v>10</v>
      </c>
      <c r="L32" s="634">
        <f>IFERROR(IF(B32="funkcna poziadavka",VLOOKUP(G32,MODULY_CBA!$B$3:$E$23,4,0)*H32/SUMIFS($H$3:$H$197,$G$3:$G$197,G32,$B$3:$B$197,B32),),)</f>
        <v>3.375</v>
      </c>
      <c r="M32" s="633">
        <f>IFERROR(IF(B32="Funkcna poziadavka",VLOOKUP(G32,MODULY_CBA!$B$3:$E$23,3,0),),)</f>
        <v>0.99499999999999988</v>
      </c>
      <c r="N32" s="633">
        <f>IFERROR(IF(B32="funkcna poziadavka",VLOOKUP(G32,MODULY_CBA!$B$3:$E$23,2,0),),)</f>
        <v>0.99</v>
      </c>
      <c r="O32" s="634">
        <f t="shared" si="5"/>
        <v>13.175043749999999</v>
      </c>
      <c r="P32" s="635">
        <f>IFERROR(O32*VLOOKUP(G32,MODULY_CBA!$B$3:$F$23,5,0),)</f>
        <v>395.25131249999998</v>
      </c>
      <c r="Q32" s="471" t="str">
        <f>IFERROR(VLOOKUP(G32,MODULY_CBA!$B$3:$I$23,6,0),"")</f>
        <v>Inkrement 1</v>
      </c>
      <c r="R32" s="385"/>
      <c r="S32" s="385"/>
      <c r="T32" s="385"/>
      <c r="U32" s="385"/>
      <c r="V32" s="388"/>
      <c r="W32" s="378"/>
      <c r="X32" s="378"/>
      <c r="Y32" s="385"/>
      <c r="Z32" s="385"/>
      <c r="AA32" s="385"/>
      <c r="AB32" s="385"/>
      <c r="AC32" s="385"/>
      <c r="AD32" s="385"/>
      <c r="AE32" s="385"/>
      <c r="AF32" s="390"/>
      <c r="AG32" s="389"/>
    </row>
    <row r="33" spans="1:33" s="387" customFormat="1" ht="38.25">
      <c r="A33" s="393" t="s">
        <v>827</v>
      </c>
      <c r="B33" s="393" t="s">
        <v>739</v>
      </c>
      <c r="C33" s="524" t="s">
        <v>795</v>
      </c>
      <c r="D33" s="386" t="s">
        <v>961</v>
      </c>
      <c r="E33" s="525" t="s">
        <v>962</v>
      </c>
      <c r="F33" s="386" t="s">
        <v>797</v>
      </c>
      <c r="G33" s="386" t="s">
        <v>960</v>
      </c>
      <c r="H33" s="381">
        <v>1</v>
      </c>
      <c r="I33" s="381">
        <v>10</v>
      </c>
      <c r="J33" s="381">
        <f t="shared" si="3"/>
        <v>1</v>
      </c>
      <c r="K33" s="633">
        <f t="shared" si="4"/>
        <v>10</v>
      </c>
      <c r="L33" s="634">
        <f>IFERROR(IF(B33="funkcna poziadavka",VLOOKUP(G33,MODULY_CBA!$B$3:$E$23,4,0)*H33/SUMIFS($H$3:$H$197,$G$3:$G$197,G33,$B$3:$B$197,B33),),)</f>
        <v>2.25</v>
      </c>
      <c r="M33" s="633">
        <f>IFERROR(IF(B33="Funkcna poziadavka",VLOOKUP(G33,MODULY_CBA!$B$3:$E$23,3,0),),)</f>
        <v>0.99499999999999988</v>
      </c>
      <c r="N33" s="633">
        <f>IFERROR(IF(B33="funkcna poziadavka",VLOOKUP(G33,MODULY_CBA!$B$3:$E$23,2,0),),)</f>
        <v>0.99</v>
      </c>
      <c r="O33" s="634">
        <f t="shared" si="5"/>
        <v>12.066862499999999</v>
      </c>
      <c r="P33" s="635">
        <f>IFERROR(O33*VLOOKUP(G33,MODULY_CBA!$B$3:$F$23,5,0),)</f>
        <v>362.00587499999995</v>
      </c>
      <c r="Q33" s="471" t="str">
        <f>IFERROR(VLOOKUP(G33,MODULY_CBA!$B$3:$I$23,6,0),"")</f>
        <v>Inkrement 1</v>
      </c>
      <c r="R33" s="385"/>
      <c r="S33" s="385"/>
      <c r="T33" s="385"/>
      <c r="U33" s="385"/>
      <c r="V33" s="388"/>
      <c r="W33" s="378"/>
      <c r="X33" s="378"/>
      <c r="Y33" s="385"/>
      <c r="Z33" s="385"/>
      <c r="AA33" s="385"/>
      <c r="AB33" s="385"/>
      <c r="AC33" s="385"/>
      <c r="AD33" s="385"/>
      <c r="AE33" s="385"/>
      <c r="AF33" s="390"/>
      <c r="AG33" s="389"/>
    </row>
    <row r="34" spans="1:33" s="387" customFormat="1" ht="38.25">
      <c r="A34" s="393" t="s">
        <v>828</v>
      </c>
      <c r="B34" s="393" t="s">
        <v>739</v>
      </c>
      <c r="C34" s="524" t="s">
        <v>795</v>
      </c>
      <c r="D34" s="386" t="s">
        <v>963</v>
      </c>
      <c r="E34" s="525" t="s">
        <v>964</v>
      </c>
      <c r="F34" s="386" t="s">
        <v>797</v>
      </c>
      <c r="G34" s="386" t="s">
        <v>960</v>
      </c>
      <c r="H34" s="381">
        <v>1</v>
      </c>
      <c r="I34" s="381">
        <v>10</v>
      </c>
      <c r="J34" s="381">
        <f t="shared" si="3"/>
        <v>1</v>
      </c>
      <c r="K34" s="633">
        <f t="shared" si="4"/>
        <v>10</v>
      </c>
      <c r="L34" s="634">
        <f>IFERROR(IF(B34="funkcna poziadavka",VLOOKUP(G34,MODULY_CBA!$B$3:$E$23,4,0)*H34/SUMIFS($H$3:$H$197,$G$3:$G$197,G34,$B$3:$B$197,B34),),)</f>
        <v>2.25</v>
      </c>
      <c r="M34" s="633">
        <f>IFERROR(IF(B34="Funkcna poziadavka",VLOOKUP(G34,MODULY_CBA!$B$3:$E$23,3,0),),)</f>
        <v>0.99499999999999988</v>
      </c>
      <c r="N34" s="633">
        <f>IFERROR(IF(B34="funkcna poziadavka",VLOOKUP(G34,MODULY_CBA!$B$3:$E$23,2,0),),)</f>
        <v>0.99</v>
      </c>
      <c r="O34" s="634">
        <f t="shared" si="5"/>
        <v>12.066862499999999</v>
      </c>
      <c r="P34" s="635">
        <f>IFERROR(O34*VLOOKUP(G34,MODULY_CBA!$B$3:$F$23,5,0),)</f>
        <v>362.00587499999995</v>
      </c>
      <c r="Q34" s="471" t="str">
        <f>IFERROR(VLOOKUP(G34,MODULY_CBA!$B$3:$I$23,6,0),"")</f>
        <v>Inkrement 1</v>
      </c>
      <c r="R34" s="385"/>
      <c r="S34" s="385"/>
      <c r="T34" s="385"/>
      <c r="U34" s="385"/>
      <c r="V34" s="388"/>
      <c r="W34" s="378"/>
      <c r="X34" s="378"/>
      <c r="Y34" s="385"/>
      <c r="Z34" s="385"/>
      <c r="AA34" s="385"/>
      <c r="AB34" s="385"/>
      <c r="AC34" s="385"/>
      <c r="AD34" s="385"/>
      <c r="AE34" s="385"/>
      <c r="AF34" s="390"/>
      <c r="AG34" s="389"/>
    </row>
    <row r="35" spans="1:33" s="387" customFormat="1" ht="38.25">
      <c r="A35" s="393" t="s">
        <v>829</v>
      </c>
      <c r="B35" s="393" t="s">
        <v>739</v>
      </c>
      <c r="C35" s="524" t="s">
        <v>795</v>
      </c>
      <c r="D35" s="386" t="s">
        <v>965</v>
      </c>
      <c r="E35" s="525" t="s">
        <v>966</v>
      </c>
      <c r="F35" s="386" t="s">
        <v>797</v>
      </c>
      <c r="G35" s="386" t="s">
        <v>960</v>
      </c>
      <c r="H35" s="381">
        <v>1</v>
      </c>
      <c r="I35" s="381">
        <v>10</v>
      </c>
      <c r="J35" s="381">
        <f t="shared" si="3"/>
        <v>1</v>
      </c>
      <c r="K35" s="633">
        <f t="shared" si="4"/>
        <v>10</v>
      </c>
      <c r="L35" s="634">
        <f>IFERROR(IF(B35="funkcna poziadavka",VLOOKUP(G35,MODULY_CBA!$B$3:$E$23,4,0)*H35/SUMIFS($H$3:$H$197,$G$3:$G$197,G35,$B$3:$B$197,B35),),)</f>
        <v>2.25</v>
      </c>
      <c r="M35" s="633">
        <f>IFERROR(IF(B35="Funkcna poziadavka",VLOOKUP(G35,MODULY_CBA!$B$3:$E$23,3,0),),)</f>
        <v>0.99499999999999988</v>
      </c>
      <c r="N35" s="633">
        <f>IFERROR(IF(B35="funkcna poziadavka",VLOOKUP(G35,MODULY_CBA!$B$3:$E$23,2,0),),)</f>
        <v>0.99</v>
      </c>
      <c r="O35" s="634">
        <f t="shared" si="5"/>
        <v>12.066862499999999</v>
      </c>
      <c r="P35" s="635">
        <f>IFERROR(O35*VLOOKUP(G35,MODULY_CBA!$B$3:$F$23,5,0),)</f>
        <v>362.00587499999995</v>
      </c>
      <c r="Q35" s="471" t="str">
        <f>IFERROR(VLOOKUP(G35,MODULY_CBA!$B$3:$I$23,6,0),"")</f>
        <v>Inkrement 1</v>
      </c>
      <c r="R35" s="385"/>
      <c r="S35" s="385"/>
      <c r="T35" s="385"/>
      <c r="U35" s="385"/>
      <c r="V35" s="388"/>
      <c r="W35" s="378"/>
      <c r="X35" s="378"/>
      <c r="Y35" s="385"/>
      <c r="Z35" s="385"/>
      <c r="AA35" s="385"/>
      <c r="AB35" s="385"/>
      <c r="AC35" s="385"/>
      <c r="AD35" s="385"/>
      <c r="AE35" s="385"/>
      <c r="AF35" s="390"/>
      <c r="AG35" s="389"/>
    </row>
    <row r="36" spans="1:33" s="387" customFormat="1" ht="38.25">
      <c r="A36" s="393" t="s">
        <v>830</v>
      </c>
      <c r="B36" s="393" t="s">
        <v>739</v>
      </c>
      <c r="C36" s="524" t="s">
        <v>795</v>
      </c>
      <c r="D36" s="386" t="s">
        <v>967</v>
      </c>
      <c r="E36" s="525" t="s">
        <v>968</v>
      </c>
      <c r="F36" s="386" t="s">
        <v>797</v>
      </c>
      <c r="G36" s="386" t="s">
        <v>960</v>
      </c>
      <c r="H36" s="381">
        <v>1</v>
      </c>
      <c r="I36" s="381">
        <v>10</v>
      </c>
      <c r="J36" s="381">
        <f t="shared" si="3"/>
        <v>1</v>
      </c>
      <c r="K36" s="633">
        <f t="shared" si="4"/>
        <v>10</v>
      </c>
      <c r="L36" s="634">
        <f>IFERROR(IF(B36="funkcna poziadavka",VLOOKUP(G36,MODULY_CBA!$B$3:$E$23,4,0)*H36/SUMIFS($H$3:$H$197,$G$3:$G$197,G36,$B$3:$B$197,B36),),)</f>
        <v>2.25</v>
      </c>
      <c r="M36" s="633">
        <f>IFERROR(IF(B36="Funkcna poziadavka",VLOOKUP(G36,MODULY_CBA!$B$3:$E$23,3,0),),)</f>
        <v>0.99499999999999988</v>
      </c>
      <c r="N36" s="633">
        <f>IFERROR(IF(B36="funkcna poziadavka",VLOOKUP(G36,MODULY_CBA!$B$3:$E$23,2,0),),)</f>
        <v>0.99</v>
      </c>
      <c r="O36" s="634">
        <f t="shared" si="5"/>
        <v>12.066862499999999</v>
      </c>
      <c r="P36" s="635">
        <f>IFERROR(O36*VLOOKUP(G36,MODULY_CBA!$B$3:$F$23,5,0),)</f>
        <v>362.00587499999995</v>
      </c>
      <c r="Q36" s="471" t="str">
        <f>IFERROR(VLOOKUP(G36,MODULY_CBA!$B$3:$I$23,6,0),"")</f>
        <v>Inkrement 1</v>
      </c>
      <c r="R36" s="385"/>
      <c r="S36" s="385"/>
      <c r="T36" s="385"/>
      <c r="U36" s="385"/>
      <c r="V36" s="388"/>
      <c r="W36" s="378"/>
      <c r="X36" s="378"/>
      <c r="Y36" s="385"/>
      <c r="Z36" s="385"/>
      <c r="AA36" s="385"/>
      <c r="AB36" s="385"/>
      <c r="AC36" s="385"/>
      <c r="AD36" s="385"/>
      <c r="AE36" s="385"/>
      <c r="AF36" s="390"/>
      <c r="AG36" s="389"/>
    </row>
    <row r="37" spans="1:33" s="387" customFormat="1" ht="38.25">
      <c r="A37" s="393" t="s">
        <v>831</v>
      </c>
      <c r="B37" s="393" t="s">
        <v>739</v>
      </c>
      <c r="C37" s="524" t="s">
        <v>795</v>
      </c>
      <c r="D37" s="386" t="s">
        <v>969</v>
      </c>
      <c r="E37" s="525" t="s">
        <v>970</v>
      </c>
      <c r="F37" s="386" t="s">
        <v>797</v>
      </c>
      <c r="G37" s="386" t="s">
        <v>960</v>
      </c>
      <c r="H37" s="381">
        <v>1</v>
      </c>
      <c r="I37" s="381">
        <v>10</v>
      </c>
      <c r="J37" s="381">
        <f t="shared" si="3"/>
        <v>1</v>
      </c>
      <c r="K37" s="633">
        <f t="shared" si="4"/>
        <v>10</v>
      </c>
      <c r="L37" s="634">
        <f>IFERROR(IF(B37="funkcna poziadavka",VLOOKUP(G37,MODULY_CBA!$B$3:$E$23,4,0)*H37/SUMIFS($H$3:$H$197,$G$3:$G$197,G37,$B$3:$B$197,B37),),)</f>
        <v>2.25</v>
      </c>
      <c r="M37" s="633">
        <f>IFERROR(IF(B37="Funkcna poziadavka",VLOOKUP(G37,MODULY_CBA!$B$3:$E$23,3,0),),)</f>
        <v>0.99499999999999988</v>
      </c>
      <c r="N37" s="633">
        <f>IFERROR(IF(B37="funkcna poziadavka",VLOOKUP(G37,MODULY_CBA!$B$3:$E$23,2,0),),)</f>
        <v>0.99</v>
      </c>
      <c r="O37" s="634">
        <f t="shared" si="5"/>
        <v>12.066862499999999</v>
      </c>
      <c r="P37" s="635">
        <f>IFERROR(O37*VLOOKUP(G37,MODULY_CBA!$B$3:$F$23,5,0),)</f>
        <v>362.00587499999995</v>
      </c>
      <c r="Q37" s="471" t="str">
        <f>IFERROR(VLOOKUP(G37,MODULY_CBA!$B$3:$I$23,6,0),"")</f>
        <v>Inkrement 1</v>
      </c>
      <c r="R37" s="385"/>
      <c r="S37" s="385"/>
      <c r="T37" s="385"/>
      <c r="U37" s="385"/>
      <c r="V37" s="388"/>
      <c r="W37" s="378"/>
      <c r="X37" s="378"/>
      <c r="Y37" s="385"/>
      <c r="Z37" s="385"/>
      <c r="AA37" s="385"/>
      <c r="AB37" s="385"/>
      <c r="AC37" s="385"/>
      <c r="AD37" s="385"/>
      <c r="AE37" s="385"/>
      <c r="AF37" s="390"/>
      <c r="AG37" s="389"/>
    </row>
    <row r="38" spans="1:33" s="387" customFormat="1" ht="38.25">
      <c r="A38" s="393" t="s">
        <v>832</v>
      </c>
      <c r="B38" s="393" t="s">
        <v>739</v>
      </c>
      <c r="C38" s="524" t="s">
        <v>795</v>
      </c>
      <c r="D38" s="386" t="s">
        <v>971</v>
      </c>
      <c r="E38" s="525" t="s">
        <v>972</v>
      </c>
      <c r="F38" s="386" t="s">
        <v>797</v>
      </c>
      <c r="G38" s="386" t="s">
        <v>960</v>
      </c>
      <c r="H38" s="381">
        <v>1</v>
      </c>
      <c r="I38" s="381">
        <v>10</v>
      </c>
      <c r="J38" s="381">
        <f t="shared" si="3"/>
        <v>1</v>
      </c>
      <c r="K38" s="633">
        <f t="shared" si="4"/>
        <v>10</v>
      </c>
      <c r="L38" s="634">
        <f>IFERROR(IF(B38="funkcna poziadavka",VLOOKUP(G38,MODULY_CBA!$B$3:$E$23,4,0)*H38/SUMIFS($H$3:$H$197,$G$3:$G$197,G38,$B$3:$B$197,B38),),)</f>
        <v>2.25</v>
      </c>
      <c r="M38" s="633">
        <f>IFERROR(IF(B38="Funkcna poziadavka",VLOOKUP(G38,MODULY_CBA!$B$3:$E$23,3,0),),)</f>
        <v>0.99499999999999988</v>
      </c>
      <c r="N38" s="633">
        <f>IFERROR(IF(B38="funkcna poziadavka",VLOOKUP(G38,MODULY_CBA!$B$3:$E$23,2,0),),)</f>
        <v>0.99</v>
      </c>
      <c r="O38" s="634">
        <f t="shared" si="5"/>
        <v>12.066862499999999</v>
      </c>
      <c r="P38" s="635">
        <f>IFERROR(O38*VLOOKUP(G38,MODULY_CBA!$B$3:$F$23,5,0),)</f>
        <v>362.00587499999995</v>
      </c>
      <c r="Q38" s="471" t="str">
        <f>IFERROR(VLOOKUP(G38,MODULY_CBA!$B$3:$I$23,6,0),"")</f>
        <v>Inkrement 1</v>
      </c>
      <c r="R38" s="385"/>
      <c r="S38" s="385"/>
      <c r="T38" s="385"/>
      <c r="U38" s="385"/>
      <c r="V38" s="388"/>
      <c r="W38" s="378"/>
      <c r="X38" s="378"/>
      <c r="Y38" s="385"/>
      <c r="Z38" s="385"/>
      <c r="AA38" s="385"/>
      <c r="AB38" s="385"/>
      <c r="AC38" s="385"/>
      <c r="AD38" s="385"/>
      <c r="AE38" s="385"/>
      <c r="AF38" s="390"/>
      <c r="AG38" s="389"/>
    </row>
    <row r="39" spans="1:33" s="387" customFormat="1" ht="38.25">
      <c r="A39" s="393" t="s">
        <v>833</v>
      </c>
      <c r="B39" s="393" t="s">
        <v>739</v>
      </c>
      <c r="C39" s="524" t="s">
        <v>795</v>
      </c>
      <c r="D39" s="386" t="s">
        <v>973</v>
      </c>
      <c r="E39" s="525" t="s">
        <v>974</v>
      </c>
      <c r="F39" s="386" t="s">
        <v>797</v>
      </c>
      <c r="G39" s="386" t="s">
        <v>960</v>
      </c>
      <c r="H39" s="381">
        <v>1</v>
      </c>
      <c r="I39" s="381">
        <v>10</v>
      </c>
      <c r="J39" s="381">
        <f t="shared" si="3"/>
        <v>1</v>
      </c>
      <c r="K39" s="633">
        <f t="shared" si="4"/>
        <v>10</v>
      </c>
      <c r="L39" s="634">
        <f>IFERROR(IF(B39="funkcna poziadavka",VLOOKUP(G39,MODULY_CBA!$B$3:$E$23,4,0)*H39/SUMIFS($H$3:$H$197,$G$3:$G$197,G39,$B$3:$B$197,B39),),)</f>
        <v>2.25</v>
      </c>
      <c r="M39" s="633">
        <f>IFERROR(IF(B39="Funkcna poziadavka",VLOOKUP(G39,MODULY_CBA!$B$3:$E$23,3,0),),)</f>
        <v>0.99499999999999988</v>
      </c>
      <c r="N39" s="633">
        <f>IFERROR(IF(B39="funkcna poziadavka",VLOOKUP(G39,MODULY_CBA!$B$3:$E$23,2,0),),)</f>
        <v>0.99</v>
      </c>
      <c r="O39" s="634">
        <f t="shared" si="5"/>
        <v>12.066862499999999</v>
      </c>
      <c r="P39" s="635">
        <f>IFERROR(O39*VLOOKUP(G39,MODULY_CBA!$B$3:$F$23,5,0),)</f>
        <v>362.00587499999995</v>
      </c>
      <c r="Q39" s="471" t="str">
        <f>IFERROR(VLOOKUP(G39,MODULY_CBA!$B$3:$I$23,6,0),"")</f>
        <v>Inkrement 1</v>
      </c>
      <c r="R39" s="385"/>
      <c r="S39" s="385"/>
      <c r="T39" s="385"/>
      <c r="U39" s="385"/>
      <c r="V39" s="388"/>
      <c r="W39" s="378"/>
      <c r="X39" s="378"/>
      <c r="Y39" s="385"/>
      <c r="Z39" s="385"/>
      <c r="AA39" s="385"/>
      <c r="AB39" s="385"/>
      <c r="AC39" s="385"/>
      <c r="AD39" s="385"/>
      <c r="AE39" s="385"/>
      <c r="AF39" s="390"/>
      <c r="AG39" s="389"/>
    </row>
    <row r="40" spans="1:33" s="387" customFormat="1" ht="38.25">
      <c r="A40" s="393" t="s">
        <v>834</v>
      </c>
      <c r="B40" s="393" t="s">
        <v>739</v>
      </c>
      <c r="C40" s="524" t="s">
        <v>795</v>
      </c>
      <c r="D40" s="386" t="s">
        <v>975</v>
      </c>
      <c r="E40" s="525" t="s">
        <v>976</v>
      </c>
      <c r="F40" s="386" t="s">
        <v>797</v>
      </c>
      <c r="G40" s="386" t="s">
        <v>960</v>
      </c>
      <c r="H40" s="381">
        <v>1</v>
      </c>
      <c r="I40" s="381">
        <v>10</v>
      </c>
      <c r="J40" s="381">
        <f t="shared" si="3"/>
        <v>1</v>
      </c>
      <c r="K40" s="633">
        <f t="shared" si="4"/>
        <v>10</v>
      </c>
      <c r="L40" s="634">
        <f>IFERROR(IF(B40="funkcna poziadavka",VLOOKUP(G40,MODULY_CBA!$B$3:$E$23,4,0)*H40/SUMIFS($H$3:$H$197,$G$3:$G$197,G40,$B$3:$B$197,B40),),)</f>
        <v>2.25</v>
      </c>
      <c r="M40" s="633">
        <f>IFERROR(IF(B40="Funkcna poziadavka",VLOOKUP(G40,MODULY_CBA!$B$3:$E$23,3,0),),)</f>
        <v>0.99499999999999988</v>
      </c>
      <c r="N40" s="633">
        <f>IFERROR(IF(B40="funkcna poziadavka",VLOOKUP(G40,MODULY_CBA!$B$3:$E$23,2,0),),)</f>
        <v>0.99</v>
      </c>
      <c r="O40" s="634">
        <f t="shared" si="5"/>
        <v>12.066862499999999</v>
      </c>
      <c r="P40" s="635">
        <f>IFERROR(O40*VLOOKUP(G40,MODULY_CBA!$B$3:$F$23,5,0),)</f>
        <v>362.00587499999995</v>
      </c>
      <c r="Q40" s="471" t="str">
        <f>IFERROR(VLOOKUP(G40,MODULY_CBA!$B$3:$I$23,6,0),"")</f>
        <v>Inkrement 1</v>
      </c>
      <c r="R40" s="385"/>
      <c r="S40" s="385"/>
      <c r="T40" s="385"/>
      <c r="U40" s="385"/>
      <c r="V40" s="388"/>
      <c r="W40" s="378"/>
      <c r="X40" s="378"/>
      <c r="Y40" s="385"/>
      <c r="Z40" s="385"/>
      <c r="AA40" s="385"/>
      <c r="AB40" s="385"/>
      <c r="AC40" s="385"/>
      <c r="AD40" s="385"/>
      <c r="AE40" s="385"/>
      <c r="AF40" s="390"/>
      <c r="AG40" s="389"/>
    </row>
    <row r="41" spans="1:33" s="387" customFormat="1" ht="38.25">
      <c r="A41" s="393" t="s">
        <v>835</v>
      </c>
      <c r="B41" s="393" t="s">
        <v>739</v>
      </c>
      <c r="C41" s="524" t="s">
        <v>795</v>
      </c>
      <c r="D41" s="386" t="s">
        <v>977</v>
      </c>
      <c r="E41" s="525" t="s">
        <v>978</v>
      </c>
      <c r="F41" s="386" t="s">
        <v>797</v>
      </c>
      <c r="G41" s="386" t="s">
        <v>960</v>
      </c>
      <c r="H41" s="381">
        <v>1</v>
      </c>
      <c r="I41" s="381">
        <v>10</v>
      </c>
      <c r="J41" s="381">
        <f t="shared" si="3"/>
        <v>1</v>
      </c>
      <c r="K41" s="633">
        <f t="shared" si="4"/>
        <v>10</v>
      </c>
      <c r="L41" s="634">
        <f>IFERROR(IF(B41="funkcna poziadavka",VLOOKUP(G41,MODULY_CBA!$B$3:$E$23,4,0)*H41/SUMIFS($H$3:$H$197,$G$3:$G$197,G41,$B$3:$B$197,B41),),)</f>
        <v>2.25</v>
      </c>
      <c r="M41" s="633">
        <f>IFERROR(IF(B41="Funkcna poziadavka",VLOOKUP(G41,MODULY_CBA!$B$3:$E$23,3,0),),)</f>
        <v>0.99499999999999988</v>
      </c>
      <c r="N41" s="633">
        <f>IFERROR(IF(B41="funkcna poziadavka",VLOOKUP(G41,MODULY_CBA!$B$3:$E$23,2,0),),)</f>
        <v>0.99</v>
      </c>
      <c r="O41" s="634">
        <f t="shared" si="5"/>
        <v>12.066862499999999</v>
      </c>
      <c r="P41" s="635">
        <f>IFERROR(O41*VLOOKUP(G41,MODULY_CBA!$B$3:$F$23,5,0),)</f>
        <v>362.00587499999995</v>
      </c>
      <c r="Q41" s="471" t="str">
        <f>IFERROR(VLOOKUP(G41,MODULY_CBA!$B$3:$I$23,6,0),"")</f>
        <v>Inkrement 1</v>
      </c>
      <c r="R41" s="385"/>
      <c r="S41" s="385"/>
      <c r="T41" s="385"/>
      <c r="U41" s="385"/>
      <c r="V41" s="388"/>
      <c r="W41" s="378"/>
      <c r="X41" s="378"/>
      <c r="Y41" s="385"/>
      <c r="Z41" s="385"/>
      <c r="AA41" s="385"/>
      <c r="AB41" s="385"/>
      <c r="AC41" s="385"/>
      <c r="AD41" s="385"/>
      <c r="AE41" s="385"/>
      <c r="AF41" s="390"/>
      <c r="AG41" s="389"/>
    </row>
    <row r="42" spans="1:33" s="387" customFormat="1" ht="38.25">
      <c r="A42" s="393" t="s">
        <v>836</v>
      </c>
      <c r="B42" s="393" t="s">
        <v>739</v>
      </c>
      <c r="C42" s="524" t="s">
        <v>795</v>
      </c>
      <c r="D42" s="386" t="s">
        <v>979</v>
      </c>
      <c r="E42" s="525" t="s">
        <v>980</v>
      </c>
      <c r="F42" s="386" t="s">
        <v>797</v>
      </c>
      <c r="G42" s="386" t="s">
        <v>960</v>
      </c>
      <c r="H42" s="381">
        <v>1</v>
      </c>
      <c r="I42" s="381">
        <v>10</v>
      </c>
      <c r="J42" s="381">
        <f t="shared" si="3"/>
        <v>1</v>
      </c>
      <c r="K42" s="633">
        <f t="shared" si="4"/>
        <v>10</v>
      </c>
      <c r="L42" s="634">
        <f>IFERROR(IF(B42="funkcna poziadavka",VLOOKUP(G42,MODULY_CBA!$B$3:$E$23,4,0)*H42/SUMIFS($H$3:$H$197,$G$3:$G$197,G42,$B$3:$B$197,B42),),)</f>
        <v>2.25</v>
      </c>
      <c r="M42" s="633">
        <f>IFERROR(IF(B42="Funkcna poziadavka",VLOOKUP(G42,MODULY_CBA!$B$3:$E$23,3,0),),)</f>
        <v>0.99499999999999988</v>
      </c>
      <c r="N42" s="633">
        <f>IFERROR(IF(B42="funkcna poziadavka",VLOOKUP(G42,MODULY_CBA!$B$3:$E$23,2,0),),)</f>
        <v>0.99</v>
      </c>
      <c r="O42" s="634">
        <f t="shared" si="5"/>
        <v>12.066862499999999</v>
      </c>
      <c r="P42" s="635">
        <f>IFERROR(O42*VLOOKUP(G42,MODULY_CBA!$B$3:$F$23,5,0),)</f>
        <v>362.00587499999995</v>
      </c>
      <c r="Q42" s="471" t="str">
        <f>IFERROR(VLOOKUP(G42,MODULY_CBA!$B$3:$I$23,6,0),"")</f>
        <v>Inkrement 1</v>
      </c>
      <c r="R42" s="385"/>
      <c r="S42" s="385"/>
      <c r="T42" s="385"/>
      <c r="U42" s="385"/>
      <c r="V42" s="388"/>
      <c r="W42" s="378"/>
      <c r="X42" s="378"/>
      <c r="Y42" s="385"/>
      <c r="Z42" s="385"/>
      <c r="AA42" s="385"/>
      <c r="AB42" s="385"/>
      <c r="AC42" s="385"/>
      <c r="AD42" s="385"/>
      <c r="AE42" s="385"/>
      <c r="AF42" s="390"/>
      <c r="AG42" s="389"/>
    </row>
    <row r="43" spans="1:33" s="387" customFormat="1" ht="38.25">
      <c r="A43" s="393" t="s">
        <v>837</v>
      </c>
      <c r="B43" s="393" t="s">
        <v>739</v>
      </c>
      <c r="C43" s="524" t="s">
        <v>795</v>
      </c>
      <c r="D43" s="386" t="s">
        <v>981</v>
      </c>
      <c r="E43" s="525" t="s">
        <v>982</v>
      </c>
      <c r="F43" s="386" t="s">
        <v>797</v>
      </c>
      <c r="G43" s="386" t="s">
        <v>960</v>
      </c>
      <c r="H43" s="381">
        <v>1</v>
      </c>
      <c r="I43" s="381">
        <v>10</v>
      </c>
      <c r="J43" s="381">
        <f t="shared" si="3"/>
        <v>1</v>
      </c>
      <c r="K43" s="633">
        <f t="shared" si="4"/>
        <v>10</v>
      </c>
      <c r="L43" s="634">
        <f>IFERROR(IF(B43="funkcna poziadavka",VLOOKUP(G43,MODULY_CBA!$B$3:$E$23,4,0)*H43/SUMIFS($H$3:$H$197,$G$3:$G$197,G43,$B$3:$B$197,B43),),)</f>
        <v>2.25</v>
      </c>
      <c r="M43" s="633">
        <f>IFERROR(IF(B43="Funkcna poziadavka",VLOOKUP(G43,MODULY_CBA!$B$3:$E$23,3,0),),)</f>
        <v>0.99499999999999988</v>
      </c>
      <c r="N43" s="633">
        <f>IFERROR(IF(B43="funkcna poziadavka",VLOOKUP(G43,MODULY_CBA!$B$3:$E$23,2,0),),)</f>
        <v>0.99</v>
      </c>
      <c r="O43" s="634">
        <f t="shared" si="5"/>
        <v>12.066862499999999</v>
      </c>
      <c r="P43" s="635">
        <f>IFERROR(O43*VLOOKUP(G43,MODULY_CBA!$B$3:$F$23,5,0),)</f>
        <v>362.00587499999995</v>
      </c>
      <c r="Q43" s="471" t="str">
        <f>IFERROR(VLOOKUP(G43,MODULY_CBA!$B$3:$I$23,6,0),"")</f>
        <v>Inkrement 1</v>
      </c>
      <c r="R43" s="385"/>
      <c r="S43" s="385"/>
      <c r="T43" s="385"/>
      <c r="U43" s="385"/>
      <c r="V43" s="388"/>
      <c r="W43" s="378"/>
      <c r="X43" s="378"/>
      <c r="Y43" s="385"/>
      <c r="Z43" s="385"/>
      <c r="AA43" s="385"/>
      <c r="AB43" s="385"/>
      <c r="AC43" s="385"/>
      <c r="AD43" s="385"/>
      <c r="AE43" s="385"/>
      <c r="AF43" s="390"/>
      <c r="AG43" s="389"/>
    </row>
    <row r="44" spans="1:33" s="387" customFormat="1" ht="38.25">
      <c r="A44" s="393" t="s">
        <v>838</v>
      </c>
      <c r="B44" s="393" t="s">
        <v>739</v>
      </c>
      <c r="C44" s="524" t="s">
        <v>795</v>
      </c>
      <c r="D44" s="386" t="s">
        <v>983</v>
      </c>
      <c r="E44" s="525" t="s">
        <v>984</v>
      </c>
      <c r="F44" s="386" t="s">
        <v>797</v>
      </c>
      <c r="G44" s="386" t="s">
        <v>960</v>
      </c>
      <c r="H44" s="381">
        <v>1</v>
      </c>
      <c r="I44" s="381">
        <v>10</v>
      </c>
      <c r="J44" s="381">
        <f t="shared" si="3"/>
        <v>1</v>
      </c>
      <c r="K44" s="633">
        <f t="shared" si="4"/>
        <v>10</v>
      </c>
      <c r="L44" s="634">
        <f>IFERROR(IF(B44="funkcna poziadavka",VLOOKUP(G44,MODULY_CBA!$B$3:$E$23,4,0)*H44/SUMIFS($H$3:$H$197,$G$3:$G$197,G44,$B$3:$B$197,B44),),)</f>
        <v>2.25</v>
      </c>
      <c r="M44" s="633">
        <f>IFERROR(IF(B44="Funkcna poziadavka",VLOOKUP(G44,MODULY_CBA!$B$3:$E$23,3,0),),)</f>
        <v>0.99499999999999988</v>
      </c>
      <c r="N44" s="633">
        <f>IFERROR(IF(B44="funkcna poziadavka",VLOOKUP(G44,MODULY_CBA!$B$3:$E$23,2,0),),)</f>
        <v>0.99</v>
      </c>
      <c r="O44" s="634">
        <f t="shared" si="5"/>
        <v>12.066862499999999</v>
      </c>
      <c r="P44" s="635">
        <f>IFERROR(O44*VLOOKUP(G44,MODULY_CBA!$B$3:$F$23,5,0),)</f>
        <v>362.00587499999995</v>
      </c>
      <c r="Q44" s="471" t="str">
        <f>IFERROR(VLOOKUP(G44,MODULY_CBA!$B$3:$I$23,6,0),"")</f>
        <v>Inkrement 1</v>
      </c>
      <c r="R44" s="385"/>
      <c r="S44" s="385"/>
      <c r="T44" s="385"/>
      <c r="U44" s="385"/>
      <c r="V44" s="388"/>
      <c r="W44" s="378"/>
      <c r="X44" s="378"/>
      <c r="Y44" s="385"/>
      <c r="Z44" s="385"/>
      <c r="AA44" s="385"/>
      <c r="AB44" s="385"/>
      <c r="AC44" s="385"/>
      <c r="AD44" s="385"/>
      <c r="AE44" s="385"/>
      <c r="AF44" s="390"/>
      <c r="AG44" s="389"/>
    </row>
    <row r="45" spans="1:33" s="387" customFormat="1" ht="38.25">
      <c r="A45" s="393" t="s">
        <v>840</v>
      </c>
      <c r="B45" s="393" t="s">
        <v>739</v>
      </c>
      <c r="C45" s="524" t="s">
        <v>795</v>
      </c>
      <c r="D45" s="386" t="s">
        <v>1055</v>
      </c>
      <c r="E45" s="525" t="s">
        <v>1056</v>
      </c>
      <c r="F45" s="386" t="s">
        <v>797</v>
      </c>
      <c r="G45" s="386" t="s">
        <v>1054</v>
      </c>
      <c r="H45" s="381">
        <v>1</v>
      </c>
      <c r="I45" s="381">
        <v>10</v>
      </c>
      <c r="J45" s="381">
        <f t="shared" si="3"/>
        <v>1</v>
      </c>
      <c r="K45" s="633">
        <f t="shared" si="4"/>
        <v>10</v>
      </c>
      <c r="L45" s="634">
        <f>IFERROR(IF(B45="funkcna poziadavka",VLOOKUP(G45,MODULY_CBA!$B$3:$E$23,4,0)*H45/SUMIFS($H$3:$H$197,$G$3:$G$197,G45,$B$3:$B$197,B45),),)</f>
        <v>0</v>
      </c>
      <c r="M45" s="633">
        <f>IFERROR(IF(B45="Funkcna poziadavka",VLOOKUP(G45,MODULY_CBA!$B$3:$E$23,3,0),),)</f>
        <v>0.99499999999999988</v>
      </c>
      <c r="N45" s="633">
        <f>IFERROR(IF(B45="funkcna poziadavka",VLOOKUP(G45,MODULY_CBA!$B$3:$E$23,2,0),),)</f>
        <v>0.99</v>
      </c>
      <c r="O45" s="634">
        <f t="shared" si="5"/>
        <v>9.8504999999999985</v>
      </c>
      <c r="P45" s="635">
        <f>IFERROR(O45*VLOOKUP(G45,MODULY_CBA!$B$3:$F$23,5,0),)</f>
        <v>295.51499999999993</v>
      </c>
      <c r="Q45" s="471" t="str">
        <f>IFERROR(VLOOKUP(G45,MODULY_CBA!$B$3:$I$23,6,0),"")</f>
        <v>Inkrement 1</v>
      </c>
      <c r="R45" s="385"/>
      <c r="S45" s="385"/>
      <c r="T45" s="385"/>
      <c r="U45" s="385"/>
      <c r="V45" s="388"/>
      <c r="W45" s="378"/>
      <c r="X45" s="378"/>
      <c r="Y45" s="385"/>
      <c r="Z45" s="385"/>
      <c r="AA45" s="385"/>
      <c r="AB45" s="385"/>
      <c r="AC45" s="385"/>
      <c r="AD45" s="385"/>
      <c r="AE45" s="385"/>
      <c r="AF45" s="390"/>
      <c r="AG45" s="389"/>
    </row>
    <row r="46" spans="1:33" s="387" customFormat="1" ht="51">
      <c r="A46" s="393" t="s">
        <v>841</v>
      </c>
      <c r="B46" s="393" t="s">
        <v>739</v>
      </c>
      <c r="C46" s="524" t="s">
        <v>795</v>
      </c>
      <c r="D46" s="386" t="s">
        <v>1057</v>
      </c>
      <c r="E46" s="525" t="s">
        <v>1058</v>
      </c>
      <c r="F46" s="386" t="s">
        <v>797</v>
      </c>
      <c r="G46" s="386" t="s">
        <v>1054</v>
      </c>
      <c r="H46" s="381">
        <v>1</v>
      </c>
      <c r="I46" s="381">
        <v>10</v>
      </c>
      <c r="J46" s="381">
        <f t="shared" si="3"/>
        <v>1</v>
      </c>
      <c r="K46" s="633">
        <f t="shared" si="4"/>
        <v>10</v>
      </c>
      <c r="L46" s="634">
        <f>IFERROR(IF(B46="funkcna poziadavka",VLOOKUP(G46,MODULY_CBA!$B$3:$E$23,4,0)*H46/SUMIFS($H$3:$H$197,$G$3:$G$197,G46,$B$3:$B$197,B46),),)</f>
        <v>0</v>
      </c>
      <c r="M46" s="633">
        <f>IFERROR(IF(B46="Funkcna poziadavka",VLOOKUP(G46,MODULY_CBA!$B$3:$E$23,3,0),),)</f>
        <v>0.99499999999999988</v>
      </c>
      <c r="N46" s="633">
        <f>IFERROR(IF(B46="funkcna poziadavka",VLOOKUP(G46,MODULY_CBA!$B$3:$E$23,2,0),),)</f>
        <v>0.99</v>
      </c>
      <c r="O46" s="634">
        <f t="shared" si="5"/>
        <v>9.8504999999999985</v>
      </c>
      <c r="P46" s="635">
        <f>IFERROR(O46*VLOOKUP(G46,MODULY_CBA!$B$3:$F$23,5,0),)</f>
        <v>295.51499999999993</v>
      </c>
      <c r="Q46" s="471" t="str">
        <f>IFERROR(VLOOKUP(G46,MODULY_CBA!$B$3:$I$23,6,0),"")</f>
        <v>Inkrement 1</v>
      </c>
      <c r="R46" s="385"/>
      <c r="S46" s="385"/>
      <c r="T46" s="385"/>
      <c r="U46" s="385"/>
      <c r="V46" s="388"/>
      <c r="W46" s="378"/>
      <c r="X46" s="378"/>
      <c r="Y46" s="385"/>
      <c r="Z46" s="385"/>
      <c r="AA46" s="385"/>
      <c r="AB46" s="385"/>
      <c r="AC46" s="385"/>
      <c r="AD46" s="385"/>
      <c r="AE46" s="385"/>
      <c r="AF46" s="390"/>
      <c r="AG46" s="389"/>
    </row>
    <row r="47" spans="1:33" s="387" customFormat="1" ht="51">
      <c r="A47" s="393" t="s">
        <v>842</v>
      </c>
      <c r="B47" s="393" t="s">
        <v>739</v>
      </c>
      <c r="C47" s="524" t="s">
        <v>795</v>
      </c>
      <c r="D47" s="386" t="s">
        <v>1059</v>
      </c>
      <c r="E47" s="525" t="s">
        <v>1060</v>
      </c>
      <c r="F47" s="386" t="s">
        <v>797</v>
      </c>
      <c r="G47" s="386" t="s">
        <v>1054</v>
      </c>
      <c r="H47" s="381">
        <v>1</v>
      </c>
      <c r="I47" s="381">
        <v>10</v>
      </c>
      <c r="J47" s="381">
        <f t="shared" si="3"/>
        <v>1</v>
      </c>
      <c r="K47" s="633">
        <f t="shared" si="4"/>
        <v>10</v>
      </c>
      <c r="L47" s="634">
        <f>IFERROR(IF(B47="funkcna poziadavka",VLOOKUP(G47,MODULY_CBA!$B$3:$E$23,4,0)*H47/SUMIFS($H$3:$H$197,$G$3:$G$197,G47,$B$3:$B$197,B47),),)</f>
        <v>0</v>
      </c>
      <c r="M47" s="633">
        <f>IFERROR(IF(B47="Funkcna poziadavka",VLOOKUP(G47,MODULY_CBA!$B$3:$E$23,3,0),),)</f>
        <v>0.99499999999999988</v>
      </c>
      <c r="N47" s="633">
        <f>IFERROR(IF(B47="funkcna poziadavka",VLOOKUP(G47,MODULY_CBA!$B$3:$E$23,2,0),),)</f>
        <v>0.99</v>
      </c>
      <c r="O47" s="634">
        <f t="shared" si="5"/>
        <v>9.8504999999999985</v>
      </c>
      <c r="P47" s="635">
        <f>IFERROR(O47*VLOOKUP(G47,MODULY_CBA!$B$3:$F$23,5,0),)</f>
        <v>295.51499999999993</v>
      </c>
      <c r="Q47" s="471" t="str">
        <f>IFERROR(VLOOKUP(G47,MODULY_CBA!$B$3:$I$23,6,0),"")</f>
        <v>Inkrement 1</v>
      </c>
      <c r="R47" s="385"/>
      <c r="S47" s="385"/>
      <c r="T47" s="385"/>
      <c r="U47" s="385"/>
      <c r="V47" s="388"/>
      <c r="W47" s="378"/>
      <c r="X47" s="378"/>
      <c r="Y47" s="385"/>
      <c r="Z47" s="385"/>
      <c r="AA47" s="385"/>
      <c r="AB47" s="385"/>
      <c r="AC47" s="385"/>
      <c r="AD47" s="385"/>
      <c r="AE47" s="385"/>
      <c r="AF47" s="390"/>
      <c r="AG47" s="389"/>
    </row>
    <row r="48" spans="1:33" s="387" customFormat="1" ht="38.25">
      <c r="A48" s="393" t="s">
        <v>843</v>
      </c>
      <c r="B48" s="393" t="s">
        <v>739</v>
      </c>
      <c r="C48" s="524" t="s">
        <v>795</v>
      </c>
      <c r="D48" s="386" t="s">
        <v>1061</v>
      </c>
      <c r="E48" s="525" t="s">
        <v>1062</v>
      </c>
      <c r="F48" s="386" t="s">
        <v>797</v>
      </c>
      <c r="G48" s="386" t="s">
        <v>1054</v>
      </c>
      <c r="H48" s="381">
        <v>1</v>
      </c>
      <c r="I48" s="381">
        <v>10</v>
      </c>
      <c r="J48" s="381">
        <f t="shared" si="3"/>
        <v>1</v>
      </c>
      <c r="K48" s="633">
        <f t="shared" si="4"/>
        <v>10</v>
      </c>
      <c r="L48" s="634">
        <f>IFERROR(IF(B48="funkcna poziadavka",VLOOKUP(G48,MODULY_CBA!$B$3:$E$23,4,0)*H48/SUMIFS($H$3:$H$197,$G$3:$G$197,G48,$B$3:$B$197,B48),),)</f>
        <v>0</v>
      </c>
      <c r="M48" s="633">
        <f>IFERROR(IF(B48="Funkcna poziadavka",VLOOKUP(G48,MODULY_CBA!$B$3:$E$23,3,0),),)</f>
        <v>0.99499999999999988</v>
      </c>
      <c r="N48" s="633">
        <f>IFERROR(IF(B48="funkcna poziadavka",VLOOKUP(G48,MODULY_CBA!$B$3:$E$23,2,0),),)</f>
        <v>0.99</v>
      </c>
      <c r="O48" s="634">
        <f t="shared" si="5"/>
        <v>9.8504999999999985</v>
      </c>
      <c r="P48" s="635">
        <f>IFERROR(O48*VLOOKUP(G48,MODULY_CBA!$B$3:$F$23,5,0),)</f>
        <v>295.51499999999993</v>
      </c>
      <c r="Q48" s="471" t="str">
        <f>IFERROR(VLOOKUP(G48,MODULY_CBA!$B$3:$I$23,6,0),"")</f>
        <v>Inkrement 1</v>
      </c>
      <c r="R48" s="385"/>
      <c r="S48" s="385"/>
      <c r="T48" s="385"/>
      <c r="U48" s="385"/>
      <c r="V48" s="388"/>
      <c r="W48" s="378"/>
      <c r="X48" s="378"/>
      <c r="Y48" s="385"/>
      <c r="Z48" s="385"/>
      <c r="AA48" s="385"/>
      <c r="AB48" s="385"/>
      <c r="AC48" s="385"/>
      <c r="AD48" s="385"/>
      <c r="AE48" s="385"/>
      <c r="AF48" s="390"/>
      <c r="AG48" s="389"/>
    </row>
    <row r="49" spans="1:33" s="387" customFormat="1" ht="38.25">
      <c r="A49" s="393" t="s">
        <v>844</v>
      </c>
      <c r="B49" s="393" t="s">
        <v>739</v>
      </c>
      <c r="C49" s="524" t="s">
        <v>795</v>
      </c>
      <c r="D49" s="386" t="s">
        <v>1063</v>
      </c>
      <c r="E49" s="525" t="s">
        <v>1064</v>
      </c>
      <c r="F49" s="386" t="s">
        <v>797</v>
      </c>
      <c r="G49" s="386" t="s">
        <v>1054</v>
      </c>
      <c r="H49" s="381">
        <v>1</v>
      </c>
      <c r="I49" s="381">
        <v>10</v>
      </c>
      <c r="J49" s="381">
        <f t="shared" si="3"/>
        <v>1</v>
      </c>
      <c r="K49" s="633">
        <f t="shared" si="4"/>
        <v>10</v>
      </c>
      <c r="L49" s="634">
        <f>IFERROR(IF(B49="funkcna poziadavka",VLOOKUP(G49,MODULY_CBA!$B$3:$E$23,4,0)*H49/SUMIFS($H$3:$H$197,$G$3:$G$197,G49,$B$3:$B$197,B49),),)</f>
        <v>0</v>
      </c>
      <c r="M49" s="633">
        <f>IFERROR(IF(B49="Funkcna poziadavka",VLOOKUP(G49,MODULY_CBA!$B$3:$E$23,3,0),),)</f>
        <v>0.99499999999999988</v>
      </c>
      <c r="N49" s="633">
        <f>IFERROR(IF(B49="funkcna poziadavka",VLOOKUP(G49,MODULY_CBA!$B$3:$E$23,2,0),),)</f>
        <v>0.99</v>
      </c>
      <c r="O49" s="634">
        <f t="shared" si="5"/>
        <v>9.8504999999999985</v>
      </c>
      <c r="P49" s="635">
        <f>IFERROR(O49*VLOOKUP(G49,MODULY_CBA!$B$3:$F$23,5,0),)</f>
        <v>295.51499999999993</v>
      </c>
      <c r="Q49" s="471" t="str">
        <f>IFERROR(VLOOKUP(G49,MODULY_CBA!$B$3:$I$23,6,0),"")</f>
        <v>Inkrement 1</v>
      </c>
      <c r="R49" s="385"/>
      <c r="S49" s="385"/>
      <c r="T49" s="385"/>
      <c r="U49" s="385"/>
      <c r="V49" s="388"/>
      <c r="W49" s="378"/>
      <c r="X49" s="378"/>
      <c r="Y49" s="385"/>
      <c r="Z49" s="385"/>
      <c r="AA49" s="385"/>
      <c r="AB49" s="385"/>
      <c r="AC49" s="385"/>
      <c r="AD49" s="385"/>
      <c r="AE49" s="385"/>
      <c r="AF49" s="390"/>
      <c r="AG49" s="389"/>
    </row>
    <row r="50" spans="1:33" s="387" customFormat="1" ht="38.25">
      <c r="A50" s="393" t="s">
        <v>845</v>
      </c>
      <c r="B50" s="393" t="s">
        <v>739</v>
      </c>
      <c r="C50" s="524" t="s">
        <v>795</v>
      </c>
      <c r="D50" s="386" t="s">
        <v>1065</v>
      </c>
      <c r="E50" s="525" t="s">
        <v>1066</v>
      </c>
      <c r="F50" s="386" t="s">
        <v>797</v>
      </c>
      <c r="G50" s="386" t="s">
        <v>1054</v>
      </c>
      <c r="H50" s="381">
        <v>1</v>
      </c>
      <c r="I50" s="381">
        <v>10</v>
      </c>
      <c r="J50" s="381">
        <f t="shared" si="3"/>
        <v>1</v>
      </c>
      <c r="K50" s="633">
        <f t="shared" si="4"/>
        <v>10</v>
      </c>
      <c r="L50" s="634">
        <f>IFERROR(IF(B50="funkcna poziadavka",VLOOKUP(G50,MODULY_CBA!$B$3:$E$23,4,0)*H50/SUMIFS($H$3:$H$197,$G$3:$G$197,G50,$B$3:$B$197,B50),),)</f>
        <v>0</v>
      </c>
      <c r="M50" s="633">
        <f>IFERROR(IF(B50="Funkcna poziadavka",VLOOKUP(G50,MODULY_CBA!$B$3:$E$23,3,0),),)</f>
        <v>0.99499999999999988</v>
      </c>
      <c r="N50" s="633">
        <f>IFERROR(IF(B50="funkcna poziadavka",VLOOKUP(G50,MODULY_CBA!$B$3:$E$23,2,0),),)</f>
        <v>0.99</v>
      </c>
      <c r="O50" s="634">
        <f t="shared" si="5"/>
        <v>9.8504999999999985</v>
      </c>
      <c r="P50" s="635">
        <f>IFERROR(O50*VLOOKUP(G50,MODULY_CBA!$B$3:$F$23,5,0),)</f>
        <v>295.51499999999993</v>
      </c>
      <c r="Q50" s="471" t="str">
        <f>IFERROR(VLOOKUP(G50,MODULY_CBA!$B$3:$I$23,6,0),"")</f>
        <v>Inkrement 1</v>
      </c>
      <c r="R50" s="385"/>
      <c r="S50" s="385"/>
      <c r="T50" s="385"/>
      <c r="U50" s="385"/>
      <c r="V50" s="388"/>
      <c r="W50" s="378"/>
      <c r="X50" s="378"/>
      <c r="Y50" s="385"/>
      <c r="Z50" s="385"/>
      <c r="AA50" s="385"/>
      <c r="AB50" s="385"/>
      <c r="AC50" s="385"/>
      <c r="AD50" s="385"/>
      <c r="AE50" s="385"/>
      <c r="AF50" s="390"/>
      <c r="AG50" s="389"/>
    </row>
    <row r="51" spans="1:33" s="387" customFormat="1" ht="38.25">
      <c r="A51" s="393" t="s">
        <v>846</v>
      </c>
      <c r="B51" s="393" t="s">
        <v>739</v>
      </c>
      <c r="C51" s="524" t="s">
        <v>795</v>
      </c>
      <c r="D51" s="386" t="s">
        <v>1067</v>
      </c>
      <c r="E51" s="525" t="s">
        <v>1068</v>
      </c>
      <c r="F51" s="386" t="s">
        <v>797</v>
      </c>
      <c r="G51" s="386" t="s">
        <v>1054</v>
      </c>
      <c r="H51" s="381">
        <v>1</v>
      </c>
      <c r="I51" s="381">
        <v>10</v>
      </c>
      <c r="J51" s="381">
        <f t="shared" si="3"/>
        <v>1</v>
      </c>
      <c r="K51" s="633">
        <f t="shared" si="4"/>
        <v>10</v>
      </c>
      <c r="L51" s="634">
        <f>IFERROR(IF(B51="funkcna poziadavka",VLOOKUP(G51,MODULY_CBA!$B$3:$E$23,4,0)*H51/SUMIFS($H$3:$H$197,$G$3:$G$197,G51,$B$3:$B$197,B51),),)</f>
        <v>0</v>
      </c>
      <c r="M51" s="633">
        <f>IFERROR(IF(B51="Funkcna poziadavka",VLOOKUP(G51,MODULY_CBA!$B$3:$E$23,3,0),),)</f>
        <v>0.99499999999999988</v>
      </c>
      <c r="N51" s="633">
        <f>IFERROR(IF(B51="funkcna poziadavka",VLOOKUP(G51,MODULY_CBA!$B$3:$E$23,2,0),),)</f>
        <v>0.99</v>
      </c>
      <c r="O51" s="634">
        <f t="shared" si="5"/>
        <v>9.8504999999999985</v>
      </c>
      <c r="P51" s="635">
        <f>IFERROR(O51*VLOOKUP(G51,MODULY_CBA!$B$3:$F$23,5,0),)</f>
        <v>295.51499999999993</v>
      </c>
      <c r="Q51" s="471" t="str">
        <f>IFERROR(VLOOKUP(G51,MODULY_CBA!$B$3:$I$23,6,0),"")</f>
        <v>Inkrement 1</v>
      </c>
      <c r="R51" s="385"/>
      <c r="S51" s="385"/>
      <c r="T51" s="385"/>
      <c r="U51" s="385"/>
      <c r="V51" s="388"/>
      <c r="W51" s="378"/>
      <c r="X51" s="378"/>
      <c r="Y51" s="385"/>
      <c r="Z51" s="385"/>
      <c r="AA51" s="385"/>
      <c r="AB51" s="385"/>
      <c r="AC51" s="385"/>
      <c r="AD51" s="385"/>
      <c r="AE51" s="385"/>
      <c r="AF51" s="390"/>
      <c r="AG51" s="389"/>
    </row>
    <row r="52" spans="1:33" s="387" customFormat="1" ht="51">
      <c r="A52" s="393" t="s">
        <v>847</v>
      </c>
      <c r="B52" s="393" t="s">
        <v>739</v>
      </c>
      <c r="C52" s="524" t="s">
        <v>795</v>
      </c>
      <c r="D52" s="386" t="s">
        <v>1069</v>
      </c>
      <c r="E52" s="525" t="s">
        <v>1070</v>
      </c>
      <c r="F52" s="386" t="s">
        <v>797</v>
      </c>
      <c r="G52" s="386" t="s">
        <v>1054</v>
      </c>
      <c r="H52" s="381">
        <v>1</v>
      </c>
      <c r="I52" s="381">
        <v>10</v>
      </c>
      <c r="J52" s="381">
        <f t="shared" si="3"/>
        <v>1</v>
      </c>
      <c r="K52" s="633">
        <f t="shared" si="4"/>
        <v>10</v>
      </c>
      <c r="L52" s="634">
        <f>IFERROR(IF(B52="funkcna poziadavka",VLOOKUP(G52,MODULY_CBA!$B$3:$E$23,4,0)*H52/SUMIFS($H$3:$H$197,$G$3:$G$197,G52,$B$3:$B$197,B52),),)</f>
        <v>0</v>
      </c>
      <c r="M52" s="633">
        <f>IFERROR(IF(B52="Funkcna poziadavka",VLOOKUP(G52,MODULY_CBA!$B$3:$E$23,3,0),),)</f>
        <v>0.99499999999999988</v>
      </c>
      <c r="N52" s="633">
        <f>IFERROR(IF(B52="funkcna poziadavka",VLOOKUP(G52,MODULY_CBA!$B$3:$E$23,2,0),),)</f>
        <v>0.99</v>
      </c>
      <c r="O52" s="634">
        <f t="shared" si="5"/>
        <v>9.8504999999999985</v>
      </c>
      <c r="P52" s="635">
        <f>IFERROR(O52*VLOOKUP(G52,MODULY_CBA!$B$3:$F$23,5,0),)</f>
        <v>295.51499999999993</v>
      </c>
      <c r="Q52" s="471" t="str">
        <f>IFERROR(VLOOKUP(G52,MODULY_CBA!$B$3:$I$23,6,0),"")</f>
        <v>Inkrement 1</v>
      </c>
      <c r="R52" s="385"/>
      <c r="S52" s="385"/>
      <c r="T52" s="385"/>
      <c r="U52" s="385"/>
      <c r="V52" s="388"/>
      <c r="W52" s="378"/>
      <c r="X52" s="378"/>
      <c r="Y52" s="385"/>
      <c r="Z52" s="385"/>
      <c r="AA52" s="385"/>
      <c r="AB52" s="385"/>
      <c r="AC52" s="385"/>
      <c r="AD52" s="385"/>
      <c r="AE52" s="385"/>
      <c r="AF52" s="390"/>
      <c r="AG52" s="389"/>
    </row>
    <row r="53" spans="1:33" s="387" customFormat="1" ht="38.25">
      <c r="A53" s="393" t="s">
        <v>848</v>
      </c>
      <c r="B53" s="393" t="s">
        <v>739</v>
      </c>
      <c r="C53" s="524" t="s">
        <v>795</v>
      </c>
      <c r="D53" s="386" t="s">
        <v>1071</v>
      </c>
      <c r="E53" s="525" t="s">
        <v>1072</v>
      </c>
      <c r="F53" s="386" t="s">
        <v>797</v>
      </c>
      <c r="G53" s="386" t="s">
        <v>1054</v>
      </c>
      <c r="H53" s="381">
        <v>1</v>
      </c>
      <c r="I53" s="381">
        <v>10</v>
      </c>
      <c r="J53" s="381">
        <f t="shared" si="3"/>
        <v>1</v>
      </c>
      <c r="K53" s="633">
        <f t="shared" si="4"/>
        <v>10</v>
      </c>
      <c r="L53" s="634">
        <f>IFERROR(IF(B53="funkcna poziadavka",VLOOKUP(G53,MODULY_CBA!$B$3:$E$23,4,0)*H53/SUMIFS($H$3:$H$197,$G$3:$G$197,G53,$B$3:$B$197,B53),),)</f>
        <v>0</v>
      </c>
      <c r="M53" s="633">
        <f>IFERROR(IF(B53="Funkcna poziadavka",VLOOKUP(G53,MODULY_CBA!$B$3:$E$23,3,0),),)</f>
        <v>0.99499999999999988</v>
      </c>
      <c r="N53" s="633">
        <f>IFERROR(IF(B53="funkcna poziadavka",VLOOKUP(G53,MODULY_CBA!$B$3:$E$23,2,0),),)</f>
        <v>0.99</v>
      </c>
      <c r="O53" s="634">
        <f t="shared" si="5"/>
        <v>9.8504999999999985</v>
      </c>
      <c r="P53" s="635">
        <f>IFERROR(O53*VLOOKUP(G53,MODULY_CBA!$B$3:$F$23,5,0),)</f>
        <v>295.51499999999993</v>
      </c>
      <c r="Q53" s="471" t="str">
        <f>IFERROR(VLOOKUP(G53,MODULY_CBA!$B$3:$I$23,6,0),"")</f>
        <v>Inkrement 1</v>
      </c>
      <c r="R53" s="385"/>
      <c r="S53" s="385"/>
      <c r="T53" s="385"/>
      <c r="U53" s="385"/>
      <c r="V53" s="388"/>
      <c r="W53" s="378"/>
      <c r="X53" s="378"/>
      <c r="Y53" s="385"/>
      <c r="Z53" s="385"/>
      <c r="AA53" s="385"/>
      <c r="AB53" s="385"/>
      <c r="AC53" s="385"/>
      <c r="AD53" s="385"/>
      <c r="AE53" s="385"/>
      <c r="AF53" s="390"/>
      <c r="AG53" s="389"/>
    </row>
    <row r="54" spans="1:33" s="387" customFormat="1" ht="38.25">
      <c r="A54" s="393" t="s">
        <v>849</v>
      </c>
      <c r="B54" s="393" t="s">
        <v>739</v>
      </c>
      <c r="C54" s="524" t="s">
        <v>795</v>
      </c>
      <c r="D54" s="386" t="s">
        <v>1313</v>
      </c>
      <c r="E54" s="525" t="s">
        <v>1314</v>
      </c>
      <c r="F54" s="386" t="s">
        <v>797</v>
      </c>
      <c r="G54" s="386" t="s">
        <v>1054</v>
      </c>
      <c r="H54" s="381">
        <v>1</v>
      </c>
      <c r="I54" s="381">
        <v>10</v>
      </c>
      <c r="J54" s="381">
        <f t="shared" si="3"/>
        <v>1</v>
      </c>
      <c r="K54" s="633">
        <f t="shared" si="4"/>
        <v>10</v>
      </c>
      <c r="L54" s="634">
        <f>IFERROR(IF(B54="funkcna poziadavka",VLOOKUP(G54,MODULY_CBA!$B$3:$E$23,4,0)*H54/SUMIFS($H$3:$H$197,$G$3:$G$197,G54,$B$3:$B$197,B54),),)</f>
        <v>0</v>
      </c>
      <c r="M54" s="633">
        <f>IFERROR(IF(B54="Funkcna poziadavka",VLOOKUP(G54,MODULY_CBA!$B$3:$E$23,3,0),),)</f>
        <v>0.99499999999999988</v>
      </c>
      <c r="N54" s="633">
        <f>IFERROR(IF(B54="funkcna poziadavka",VLOOKUP(G54,MODULY_CBA!$B$3:$E$23,2,0),),)</f>
        <v>0.99</v>
      </c>
      <c r="O54" s="634">
        <f t="shared" si="5"/>
        <v>9.8504999999999985</v>
      </c>
      <c r="P54" s="635">
        <f>IFERROR(O54*VLOOKUP(G54,MODULY_CBA!$B$3:$F$23,5,0),)</f>
        <v>295.51499999999993</v>
      </c>
      <c r="Q54" s="471" t="str">
        <f>IFERROR(VLOOKUP(G54,MODULY_CBA!$B$3:$I$23,6,0),"")</f>
        <v>Inkrement 1</v>
      </c>
      <c r="R54" s="385"/>
      <c r="S54" s="385"/>
      <c r="T54" s="385"/>
      <c r="U54" s="385"/>
      <c r="V54" s="388"/>
      <c r="W54" s="378"/>
      <c r="X54" s="378"/>
      <c r="Y54" s="385"/>
      <c r="Z54" s="385"/>
      <c r="AA54" s="385"/>
      <c r="AB54" s="385"/>
      <c r="AC54" s="385"/>
      <c r="AD54" s="385"/>
      <c r="AE54" s="385"/>
      <c r="AF54" s="390"/>
      <c r="AG54" s="389"/>
    </row>
    <row r="55" spans="1:33" s="387" customFormat="1" ht="38.25">
      <c r="A55" s="393" t="s">
        <v>850</v>
      </c>
      <c r="B55" s="393" t="s">
        <v>739</v>
      </c>
      <c r="C55" s="524" t="s">
        <v>795</v>
      </c>
      <c r="D55" s="386" t="s">
        <v>1073</v>
      </c>
      <c r="E55" s="525" t="s">
        <v>1190</v>
      </c>
      <c r="F55" s="386" t="s">
        <v>797</v>
      </c>
      <c r="G55" s="386" t="s">
        <v>1054</v>
      </c>
      <c r="H55" s="381">
        <v>1</v>
      </c>
      <c r="I55" s="381">
        <v>10</v>
      </c>
      <c r="J55" s="381">
        <f t="shared" si="3"/>
        <v>1</v>
      </c>
      <c r="K55" s="633">
        <f t="shared" si="4"/>
        <v>10</v>
      </c>
      <c r="L55" s="634">
        <f>IFERROR(IF(B55="funkcna poziadavka",VLOOKUP(G55,MODULY_CBA!$B$3:$E$23,4,0)*H55/SUMIFS($H$3:$H$197,$G$3:$G$197,G55,$B$3:$B$197,B55),),)</f>
        <v>0</v>
      </c>
      <c r="M55" s="633">
        <f>IFERROR(IF(B55="Funkcna poziadavka",VLOOKUP(G55,MODULY_CBA!$B$3:$E$23,3,0),),)</f>
        <v>0.99499999999999988</v>
      </c>
      <c r="N55" s="633">
        <f>IFERROR(IF(B55="funkcna poziadavka",VLOOKUP(G55,MODULY_CBA!$B$3:$E$23,2,0),),)</f>
        <v>0.99</v>
      </c>
      <c r="O55" s="634">
        <f t="shared" si="5"/>
        <v>9.8504999999999985</v>
      </c>
      <c r="P55" s="635">
        <f>IFERROR(O55*VLOOKUP(G55,MODULY_CBA!$B$3:$F$23,5,0),)</f>
        <v>295.51499999999993</v>
      </c>
      <c r="Q55" s="471" t="str">
        <f>IFERROR(VLOOKUP(G55,MODULY_CBA!$B$3:$I$23,6,0),"")</f>
        <v>Inkrement 1</v>
      </c>
      <c r="R55" s="385"/>
      <c r="S55" s="385"/>
      <c r="T55" s="385"/>
      <c r="U55" s="385"/>
      <c r="V55" s="388"/>
      <c r="W55" s="378"/>
      <c r="X55" s="378"/>
      <c r="Y55" s="385"/>
      <c r="Z55" s="385"/>
      <c r="AA55" s="385"/>
      <c r="AB55" s="385"/>
      <c r="AC55" s="385"/>
      <c r="AD55" s="385"/>
      <c r="AE55" s="385"/>
      <c r="AF55" s="390"/>
      <c r="AG55" s="389"/>
    </row>
    <row r="56" spans="1:33" s="387" customFormat="1" ht="38.25">
      <c r="A56" s="393" t="s">
        <v>851</v>
      </c>
      <c r="B56" s="393" t="s">
        <v>739</v>
      </c>
      <c r="C56" s="524" t="s">
        <v>795</v>
      </c>
      <c r="D56" s="386" t="s">
        <v>1074</v>
      </c>
      <c r="E56" s="525" t="s">
        <v>1191</v>
      </c>
      <c r="F56" s="386" t="s">
        <v>797</v>
      </c>
      <c r="G56" s="386" t="s">
        <v>1054</v>
      </c>
      <c r="H56" s="381">
        <v>1</v>
      </c>
      <c r="I56" s="381">
        <v>10</v>
      </c>
      <c r="J56" s="381">
        <f t="shared" si="3"/>
        <v>1</v>
      </c>
      <c r="K56" s="633">
        <f t="shared" si="4"/>
        <v>10</v>
      </c>
      <c r="L56" s="634">
        <f>IFERROR(IF(B56="funkcna poziadavka",VLOOKUP(G56,MODULY_CBA!$B$3:$E$23,4,0)*H56/SUMIFS($H$3:$H$197,$G$3:$G$197,G56,$B$3:$B$197,B56),),)</f>
        <v>0</v>
      </c>
      <c r="M56" s="633">
        <f>IFERROR(IF(B56="Funkcna poziadavka",VLOOKUP(G56,MODULY_CBA!$B$3:$E$23,3,0),),)</f>
        <v>0.99499999999999988</v>
      </c>
      <c r="N56" s="633">
        <f>IFERROR(IF(B56="funkcna poziadavka",VLOOKUP(G56,MODULY_CBA!$B$3:$E$23,2,0),),)</f>
        <v>0.99</v>
      </c>
      <c r="O56" s="634">
        <f t="shared" si="5"/>
        <v>9.8504999999999985</v>
      </c>
      <c r="P56" s="635">
        <f>IFERROR(O56*VLOOKUP(G56,MODULY_CBA!$B$3:$F$23,5,0),)</f>
        <v>295.51499999999993</v>
      </c>
      <c r="Q56" s="471" t="str">
        <f>IFERROR(VLOOKUP(G56,MODULY_CBA!$B$3:$I$23,6,0),"")</f>
        <v>Inkrement 1</v>
      </c>
      <c r="R56" s="385"/>
      <c r="S56" s="385"/>
      <c r="T56" s="385"/>
      <c r="U56" s="385"/>
      <c r="V56" s="388"/>
      <c r="W56" s="378"/>
      <c r="X56" s="378"/>
      <c r="Y56" s="385"/>
      <c r="Z56" s="385"/>
      <c r="AA56" s="385"/>
      <c r="AB56" s="385"/>
      <c r="AC56" s="385"/>
      <c r="AD56" s="385"/>
      <c r="AE56" s="385"/>
      <c r="AF56" s="390"/>
      <c r="AG56" s="389"/>
    </row>
    <row r="57" spans="1:33" s="387" customFormat="1" ht="38.25">
      <c r="A57" s="393" t="s">
        <v>852</v>
      </c>
      <c r="B57" s="393" t="s">
        <v>739</v>
      </c>
      <c r="C57" s="524" t="s">
        <v>795</v>
      </c>
      <c r="D57" s="386" t="s">
        <v>1075</v>
      </c>
      <c r="E57" s="525" t="s">
        <v>1192</v>
      </c>
      <c r="F57" s="386" t="s">
        <v>797</v>
      </c>
      <c r="G57" s="386" t="s">
        <v>1054</v>
      </c>
      <c r="H57" s="381">
        <v>1</v>
      </c>
      <c r="I57" s="381">
        <v>10</v>
      </c>
      <c r="J57" s="381">
        <f t="shared" si="3"/>
        <v>1</v>
      </c>
      <c r="K57" s="633">
        <f t="shared" si="4"/>
        <v>10</v>
      </c>
      <c r="L57" s="634">
        <f>IFERROR(IF(B57="funkcna poziadavka",VLOOKUP(G57,MODULY_CBA!$B$3:$E$23,4,0)*H57/SUMIFS($H$3:$H$197,$G$3:$G$197,G57,$B$3:$B$197,B57),),)</f>
        <v>0</v>
      </c>
      <c r="M57" s="633">
        <f>IFERROR(IF(B57="Funkcna poziadavka",VLOOKUP(G57,MODULY_CBA!$B$3:$E$23,3,0),),)</f>
        <v>0.99499999999999988</v>
      </c>
      <c r="N57" s="633">
        <f>IFERROR(IF(B57="funkcna poziadavka",VLOOKUP(G57,MODULY_CBA!$B$3:$E$23,2,0),),)</f>
        <v>0.99</v>
      </c>
      <c r="O57" s="634">
        <f t="shared" si="5"/>
        <v>9.8504999999999985</v>
      </c>
      <c r="P57" s="635">
        <f>IFERROR(O57*VLOOKUP(G57,MODULY_CBA!$B$3:$F$23,5,0),)</f>
        <v>295.51499999999993</v>
      </c>
      <c r="Q57" s="471" t="str">
        <f>IFERROR(VLOOKUP(G57,MODULY_CBA!$B$3:$I$23,6,0),"")</f>
        <v>Inkrement 1</v>
      </c>
      <c r="R57" s="385"/>
      <c r="S57" s="385"/>
      <c r="T57" s="385"/>
      <c r="U57" s="385"/>
      <c r="V57" s="388"/>
      <c r="W57" s="378"/>
      <c r="X57" s="378"/>
      <c r="Y57" s="385"/>
      <c r="Z57" s="385"/>
      <c r="AA57" s="385"/>
      <c r="AB57" s="385"/>
      <c r="AC57" s="385"/>
      <c r="AD57" s="385"/>
      <c r="AE57" s="385"/>
      <c r="AF57" s="390"/>
      <c r="AG57" s="389"/>
    </row>
    <row r="58" spans="1:33" s="387" customFormat="1" ht="38.25">
      <c r="A58" s="393" t="s">
        <v>853</v>
      </c>
      <c r="B58" s="393" t="s">
        <v>739</v>
      </c>
      <c r="C58" s="524" t="s">
        <v>795</v>
      </c>
      <c r="D58" s="386" t="s">
        <v>1076</v>
      </c>
      <c r="E58" s="525" t="s">
        <v>1193</v>
      </c>
      <c r="F58" s="386" t="s">
        <v>797</v>
      </c>
      <c r="G58" s="386" t="s">
        <v>1054</v>
      </c>
      <c r="H58" s="381">
        <v>1</v>
      </c>
      <c r="I58" s="381">
        <v>10</v>
      </c>
      <c r="J58" s="381">
        <f t="shared" si="3"/>
        <v>1</v>
      </c>
      <c r="K58" s="633">
        <f t="shared" si="4"/>
        <v>10</v>
      </c>
      <c r="L58" s="634">
        <f>IFERROR(IF(B58="funkcna poziadavka",VLOOKUP(G58,MODULY_CBA!$B$3:$E$23,4,0)*H58/SUMIFS($H$3:$H$197,$G$3:$G$197,G58,$B$3:$B$197,B58),),)</f>
        <v>0</v>
      </c>
      <c r="M58" s="633">
        <f>IFERROR(IF(B58="Funkcna poziadavka",VLOOKUP(G58,MODULY_CBA!$B$3:$E$23,3,0),),)</f>
        <v>0.99499999999999988</v>
      </c>
      <c r="N58" s="633">
        <f>IFERROR(IF(B58="funkcna poziadavka",VLOOKUP(G58,MODULY_CBA!$B$3:$E$23,2,0),),)</f>
        <v>0.99</v>
      </c>
      <c r="O58" s="634">
        <f t="shared" si="5"/>
        <v>9.8504999999999985</v>
      </c>
      <c r="P58" s="635">
        <f>IFERROR(O58*VLOOKUP(G58,MODULY_CBA!$B$3:$F$23,5,0),)</f>
        <v>295.51499999999993</v>
      </c>
      <c r="Q58" s="471" t="str">
        <f>IFERROR(VLOOKUP(G58,MODULY_CBA!$B$3:$I$23,6,0),"")</f>
        <v>Inkrement 1</v>
      </c>
      <c r="R58" s="385"/>
      <c r="S58" s="385"/>
      <c r="T58" s="385"/>
      <c r="U58" s="385"/>
      <c r="V58" s="388"/>
      <c r="W58" s="378"/>
      <c r="X58" s="378"/>
      <c r="Y58" s="385"/>
      <c r="Z58" s="385"/>
      <c r="AA58" s="385"/>
      <c r="AB58" s="385"/>
      <c r="AC58" s="385"/>
      <c r="AD58" s="385"/>
      <c r="AE58" s="385"/>
      <c r="AF58" s="390"/>
      <c r="AG58" s="389"/>
    </row>
    <row r="59" spans="1:33" s="387" customFormat="1" ht="38.25">
      <c r="A59" s="393" t="s">
        <v>854</v>
      </c>
      <c r="B59" s="393" t="s">
        <v>739</v>
      </c>
      <c r="C59" s="524" t="s">
        <v>795</v>
      </c>
      <c r="D59" s="386" t="s">
        <v>1077</v>
      </c>
      <c r="E59" s="525" t="s">
        <v>1194</v>
      </c>
      <c r="F59" s="386" t="s">
        <v>797</v>
      </c>
      <c r="G59" s="386" t="s">
        <v>1054</v>
      </c>
      <c r="H59" s="381">
        <v>1</v>
      </c>
      <c r="I59" s="381">
        <v>10</v>
      </c>
      <c r="J59" s="381">
        <f t="shared" si="3"/>
        <v>1</v>
      </c>
      <c r="K59" s="633">
        <f t="shared" si="4"/>
        <v>10</v>
      </c>
      <c r="L59" s="634">
        <f>IFERROR(IF(B59="funkcna poziadavka",VLOOKUP(G59,MODULY_CBA!$B$3:$E$23,4,0)*H59/SUMIFS($H$3:$H$197,$G$3:$G$197,G59,$B$3:$B$197,B59),),)</f>
        <v>0</v>
      </c>
      <c r="M59" s="633">
        <f>IFERROR(IF(B59="Funkcna poziadavka",VLOOKUP(G59,MODULY_CBA!$B$3:$E$23,3,0),),)</f>
        <v>0.99499999999999988</v>
      </c>
      <c r="N59" s="633">
        <f>IFERROR(IF(B59="funkcna poziadavka",VLOOKUP(G59,MODULY_CBA!$B$3:$E$23,2,0),),)</f>
        <v>0.99</v>
      </c>
      <c r="O59" s="634">
        <f t="shared" si="5"/>
        <v>9.8504999999999985</v>
      </c>
      <c r="P59" s="635">
        <f>IFERROR(O59*VLOOKUP(G59,MODULY_CBA!$B$3:$F$23,5,0),)</f>
        <v>295.51499999999993</v>
      </c>
      <c r="Q59" s="471" t="str">
        <f>IFERROR(VLOOKUP(G59,MODULY_CBA!$B$3:$I$23,6,0),"")</f>
        <v>Inkrement 1</v>
      </c>
      <c r="R59" s="385"/>
      <c r="S59" s="385"/>
      <c r="T59" s="385"/>
      <c r="U59" s="385"/>
      <c r="V59" s="388"/>
      <c r="W59" s="378"/>
      <c r="X59" s="378"/>
      <c r="Y59" s="385"/>
      <c r="Z59" s="385"/>
      <c r="AA59" s="385"/>
      <c r="AB59" s="385"/>
      <c r="AC59" s="385"/>
      <c r="AD59" s="385"/>
      <c r="AE59" s="385"/>
      <c r="AF59" s="390"/>
      <c r="AG59" s="389"/>
    </row>
    <row r="60" spans="1:33" s="387" customFormat="1" ht="38.25">
      <c r="A60" s="393" t="s">
        <v>855</v>
      </c>
      <c r="B60" s="393" t="s">
        <v>739</v>
      </c>
      <c r="C60" s="524" t="s">
        <v>795</v>
      </c>
      <c r="D60" s="386" t="s">
        <v>1078</v>
      </c>
      <c r="E60" s="525" t="s">
        <v>1195</v>
      </c>
      <c r="F60" s="386" t="s">
        <v>797</v>
      </c>
      <c r="G60" s="386" t="s">
        <v>1054</v>
      </c>
      <c r="H60" s="381">
        <v>1</v>
      </c>
      <c r="I60" s="381">
        <v>10</v>
      </c>
      <c r="J60" s="381">
        <f t="shared" si="3"/>
        <v>1</v>
      </c>
      <c r="K60" s="633">
        <f t="shared" si="4"/>
        <v>10</v>
      </c>
      <c r="L60" s="634">
        <f>IFERROR(IF(B60="funkcna poziadavka",VLOOKUP(G60,MODULY_CBA!$B$3:$E$23,4,0)*H60/SUMIFS($H$3:$H$197,$G$3:$G$197,G60,$B$3:$B$197,B60),),)</f>
        <v>0</v>
      </c>
      <c r="M60" s="633">
        <f>IFERROR(IF(B60="Funkcna poziadavka",VLOOKUP(G60,MODULY_CBA!$B$3:$E$23,3,0),),)</f>
        <v>0.99499999999999988</v>
      </c>
      <c r="N60" s="633">
        <f>IFERROR(IF(B60="funkcna poziadavka",VLOOKUP(G60,MODULY_CBA!$B$3:$E$23,2,0),),)</f>
        <v>0.99</v>
      </c>
      <c r="O60" s="634">
        <f t="shared" si="5"/>
        <v>9.8504999999999985</v>
      </c>
      <c r="P60" s="635">
        <f>IFERROR(O60*VLOOKUP(G60,MODULY_CBA!$B$3:$F$23,5,0),)</f>
        <v>295.51499999999993</v>
      </c>
      <c r="Q60" s="471" t="str">
        <f>IFERROR(VLOOKUP(G60,MODULY_CBA!$B$3:$I$23,6,0),"")</f>
        <v>Inkrement 1</v>
      </c>
      <c r="R60" s="385"/>
      <c r="S60" s="385"/>
      <c r="T60" s="385"/>
      <c r="U60" s="385"/>
      <c r="V60" s="388"/>
      <c r="W60" s="378"/>
      <c r="X60" s="378"/>
      <c r="Y60" s="385"/>
      <c r="Z60" s="385"/>
      <c r="AA60" s="385"/>
      <c r="AB60" s="385"/>
      <c r="AC60" s="385"/>
      <c r="AD60" s="385"/>
      <c r="AE60" s="385"/>
      <c r="AF60" s="390"/>
      <c r="AG60" s="389"/>
    </row>
    <row r="61" spans="1:33" s="387" customFormat="1" ht="38.25">
      <c r="A61" s="393" t="s">
        <v>856</v>
      </c>
      <c r="B61" s="393" t="s">
        <v>739</v>
      </c>
      <c r="C61" s="524" t="s">
        <v>795</v>
      </c>
      <c r="D61" s="386" t="s">
        <v>1079</v>
      </c>
      <c r="E61" s="525" t="s">
        <v>1196</v>
      </c>
      <c r="F61" s="386" t="s">
        <v>797</v>
      </c>
      <c r="G61" s="386" t="s">
        <v>1054</v>
      </c>
      <c r="H61" s="381">
        <v>1</v>
      </c>
      <c r="I61" s="381">
        <v>10</v>
      </c>
      <c r="J61" s="381">
        <f t="shared" si="3"/>
        <v>1</v>
      </c>
      <c r="K61" s="633">
        <f t="shared" si="4"/>
        <v>10</v>
      </c>
      <c r="L61" s="634">
        <f>IFERROR(IF(B61="funkcna poziadavka",VLOOKUP(G61,MODULY_CBA!$B$3:$E$23,4,0)*H61/SUMIFS($H$3:$H$197,$G$3:$G$197,G61,$B$3:$B$197,B61),),)</f>
        <v>0</v>
      </c>
      <c r="M61" s="633">
        <f>IFERROR(IF(B61="Funkcna poziadavka",VLOOKUP(G61,MODULY_CBA!$B$3:$E$23,3,0),),)</f>
        <v>0.99499999999999988</v>
      </c>
      <c r="N61" s="633">
        <f>IFERROR(IF(B61="funkcna poziadavka",VLOOKUP(G61,MODULY_CBA!$B$3:$E$23,2,0),),)</f>
        <v>0.99</v>
      </c>
      <c r="O61" s="634">
        <f t="shared" si="5"/>
        <v>9.8504999999999985</v>
      </c>
      <c r="P61" s="635">
        <f>IFERROR(O61*VLOOKUP(G61,MODULY_CBA!$B$3:$F$23,5,0),)</f>
        <v>295.51499999999993</v>
      </c>
      <c r="Q61" s="471" t="str">
        <f>IFERROR(VLOOKUP(G61,MODULY_CBA!$B$3:$I$23,6,0),"")</f>
        <v>Inkrement 1</v>
      </c>
      <c r="R61" s="385"/>
      <c r="S61" s="385"/>
      <c r="T61" s="385"/>
      <c r="U61" s="385"/>
      <c r="V61" s="388"/>
      <c r="W61" s="378"/>
      <c r="X61" s="378"/>
      <c r="Y61" s="385"/>
      <c r="Z61" s="385"/>
      <c r="AA61" s="385"/>
      <c r="AB61" s="385"/>
      <c r="AC61" s="385"/>
      <c r="AD61" s="385"/>
      <c r="AE61" s="385"/>
      <c r="AF61" s="390"/>
      <c r="AG61" s="389"/>
    </row>
    <row r="62" spans="1:33" s="387" customFormat="1" ht="51">
      <c r="A62" s="393" t="s">
        <v>857</v>
      </c>
      <c r="B62" s="393" t="s">
        <v>739</v>
      </c>
      <c r="C62" s="524" t="s">
        <v>795</v>
      </c>
      <c r="D62" s="386" t="s">
        <v>1080</v>
      </c>
      <c r="E62" s="525" t="s">
        <v>1197</v>
      </c>
      <c r="F62" s="386" t="s">
        <v>797</v>
      </c>
      <c r="G62" s="386" t="s">
        <v>1054</v>
      </c>
      <c r="H62" s="381">
        <v>1</v>
      </c>
      <c r="I62" s="381">
        <v>10</v>
      </c>
      <c r="J62" s="381">
        <f t="shared" si="3"/>
        <v>1</v>
      </c>
      <c r="K62" s="633">
        <f t="shared" si="4"/>
        <v>10</v>
      </c>
      <c r="L62" s="634">
        <f>IFERROR(IF(B62="funkcna poziadavka",VLOOKUP(G62,MODULY_CBA!$B$3:$E$23,4,0)*H62/SUMIFS($H$3:$H$197,$G$3:$G$197,G62,$B$3:$B$197,B62),),)</f>
        <v>0</v>
      </c>
      <c r="M62" s="633">
        <f>IFERROR(IF(B62="Funkcna poziadavka",VLOOKUP(G62,MODULY_CBA!$B$3:$E$23,3,0),),)</f>
        <v>0.99499999999999988</v>
      </c>
      <c r="N62" s="633">
        <f>IFERROR(IF(B62="funkcna poziadavka",VLOOKUP(G62,MODULY_CBA!$B$3:$E$23,2,0),),)</f>
        <v>0.99</v>
      </c>
      <c r="O62" s="634">
        <f t="shared" si="5"/>
        <v>9.8504999999999985</v>
      </c>
      <c r="P62" s="635">
        <f>IFERROR(O62*VLOOKUP(G62,MODULY_CBA!$B$3:$F$23,5,0),)</f>
        <v>295.51499999999993</v>
      </c>
      <c r="Q62" s="471" t="str">
        <f>IFERROR(VLOOKUP(G62,MODULY_CBA!$B$3:$I$23,6,0),"")</f>
        <v>Inkrement 1</v>
      </c>
      <c r="R62" s="385"/>
      <c r="S62" s="385"/>
      <c r="T62" s="385"/>
      <c r="U62" s="385"/>
      <c r="V62" s="388"/>
      <c r="W62" s="378"/>
      <c r="X62" s="378"/>
      <c r="Y62" s="385"/>
      <c r="Z62" s="385"/>
      <c r="AA62" s="385"/>
      <c r="AB62" s="385"/>
      <c r="AC62" s="385"/>
      <c r="AD62" s="385"/>
      <c r="AE62" s="385"/>
      <c r="AF62" s="390"/>
      <c r="AG62" s="389"/>
    </row>
    <row r="63" spans="1:33" s="387" customFormat="1" ht="51">
      <c r="A63" s="393" t="s">
        <v>858</v>
      </c>
      <c r="B63" s="393" t="s">
        <v>739</v>
      </c>
      <c r="C63" s="524" t="s">
        <v>794</v>
      </c>
      <c r="D63" s="386" t="s">
        <v>1081</v>
      </c>
      <c r="E63" s="525" t="s">
        <v>1198</v>
      </c>
      <c r="F63" s="386" t="s">
        <v>797</v>
      </c>
      <c r="G63" s="386" t="s">
        <v>1054</v>
      </c>
      <c r="H63" s="381">
        <v>1</v>
      </c>
      <c r="I63" s="381">
        <v>10</v>
      </c>
      <c r="J63" s="381">
        <f t="shared" si="3"/>
        <v>1</v>
      </c>
      <c r="K63" s="633">
        <f t="shared" si="4"/>
        <v>10</v>
      </c>
      <c r="L63" s="634">
        <f>IFERROR(IF(B63="funkcna poziadavka",VLOOKUP(G63,MODULY_CBA!$B$3:$E$23,4,0)*H63/SUMIFS($H$3:$H$197,$G$3:$G$197,G63,$B$3:$B$197,B63),),)</f>
        <v>0</v>
      </c>
      <c r="M63" s="633">
        <f>IFERROR(IF(B63="Funkcna poziadavka",VLOOKUP(G63,MODULY_CBA!$B$3:$E$23,3,0),),)</f>
        <v>0.99499999999999988</v>
      </c>
      <c r="N63" s="633">
        <f>IFERROR(IF(B63="funkcna poziadavka",VLOOKUP(G63,MODULY_CBA!$B$3:$E$23,2,0),),)</f>
        <v>0.99</v>
      </c>
      <c r="O63" s="634">
        <f t="shared" si="5"/>
        <v>9.8504999999999985</v>
      </c>
      <c r="P63" s="635">
        <f>IFERROR(O63*VLOOKUP(G63,MODULY_CBA!$B$3:$F$23,5,0),)</f>
        <v>295.51499999999993</v>
      </c>
      <c r="Q63" s="471" t="str">
        <f>IFERROR(VLOOKUP(G63,MODULY_CBA!$B$3:$I$23,6,0),"")</f>
        <v>Inkrement 1</v>
      </c>
      <c r="R63" s="385"/>
      <c r="S63" s="385"/>
      <c r="T63" s="385"/>
      <c r="U63" s="385"/>
      <c r="V63" s="388"/>
      <c r="W63" s="378"/>
      <c r="X63" s="378"/>
      <c r="Y63" s="385"/>
      <c r="Z63" s="385"/>
      <c r="AA63" s="385"/>
      <c r="AB63" s="385"/>
      <c r="AC63" s="385"/>
      <c r="AD63" s="385"/>
      <c r="AE63" s="385"/>
      <c r="AF63" s="390"/>
      <c r="AG63" s="389"/>
    </row>
    <row r="64" spans="1:33" s="387" customFormat="1" ht="38.25">
      <c r="A64" s="393" t="s">
        <v>859</v>
      </c>
      <c r="B64" s="393" t="s">
        <v>739</v>
      </c>
      <c r="C64" s="524" t="s">
        <v>794</v>
      </c>
      <c r="D64" s="386" t="s">
        <v>1082</v>
      </c>
      <c r="E64" s="525" t="s">
        <v>1199</v>
      </c>
      <c r="F64" s="386" t="s">
        <v>797</v>
      </c>
      <c r="G64" s="386" t="s">
        <v>1307</v>
      </c>
      <c r="H64" s="381">
        <v>1</v>
      </c>
      <c r="I64" s="381">
        <v>10</v>
      </c>
      <c r="J64" s="381">
        <f t="shared" si="3"/>
        <v>1</v>
      </c>
      <c r="K64" s="633">
        <f t="shared" si="4"/>
        <v>10</v>
      </c>
      <c r="L64" s="634">
        <f>IFERROR(IF(B64="funkcna poziadavka",VLOOKUP(G64,MODULY_CBA!$B$3:$E$23,4,0)*H64/SUMIFS($H$3:$H$197,$G$3:$G$197,G64,$B$3:$B$197,B64),),)</f>
        <v>0</v>
      </c>
      <c r="M64" s="633">
        <f>IFERROR(IF(B64="Funkcna poziadavka",VLOOKUP(G64,MODULY_CBA!$B$3:$E$23,3,0),),)</f>
        <v>0.99499999999999988</v>
      </c>
      <c r="N64" s="633">
        <f>IFERROR(IF(B64="funkcna poziadavka",VLOOKUP(G64,MODULY_CBA!$B$3:$E$23,2,0),),)</f>
        <v>0.99</v>
      </c>
      <c r="O64" s="634">
        <f t="shared" si="5"/>
        <v>9.8504999999999985</v>
      </c>
      <c r="P64" s="635">
        <f>IFERROR(O64*VLOOKUP(G64,MODULY_CBA!$B$3:$F$23,5,0),)</f>
        <v>295.51499999999993</v>
      </c>
      <c r="Q64" s="471" t="str">
        <f>IFERROR(VLOOKUP(G64,MODULY_CBA!$B$3:$I$23,6,0),"")</f>
        <v>Inkrement 2</v>
      </c>
      <c r="R64" s="385"/>
      <c r="S64" s="385"/>
      <c r="T64" s="385"/>
      <c r="U64" s="385"/>
      <c r="V64" s="388"/>
      <c r="W64" s="378"/>
      <c r="X64" s="378"/>
      <c r="Y64" s="385"/>
      <c r="Z64" s="385"/>
      <c r="AA64" s="385"/>
      <c r="AB64" s="385"/>
      <c r="AC64" s="385"/>
      <c r="AD64" s="385"/>
      <c r="AE64" s="385"/>
      <c r="AF64" s="390"/>
      <c r="AG64" s="389"/>
    </row>
    <row r="65" spans="1:33" s="387" customFormat="1" ht="38.25">
      <c r="A65" s="393" t="s">
        <v>860</v>
      </c>
      <c r="B65" s="393" t="s">
        <v>739</v>
      </c>
      <c r="C65" s="524" t="s">
        <v>794</v>
      </c>
      <c r="D65" s="386" t="s">
        <v>1083</v>
      </c>
      <c r="E65" s="525" t="s">
        <v>1200</v>
      </c>
      <c r="F65" s="386" t="s">
        <v>797</v>
      </c>
      <c r="G65" s="386" t="s">
        <v>1307</v>
      </c>
      <c r="H65" s="381">
        <v>1</v>
      </c>
      <c r="I65" s="381">
        <v>10</v>
      </c>
      <c r="J65" s="381">
        <f t="shared" si="3"/>
        <v>1</v>
      </c>
      <c r="K65" s="633">
        <f t="shared" si="4"/>
        <v>10</v>
      </c>
      <c r="L65" s="634">
        <f>IFERROR(IF(B65="funkcna poziadavka",VLOOKUP(G65,MODULY_CBA!$B$3:$E$23,4,0)*H65/SUMIFS($H$3:$H$197,$G$3:$G$197,G65,$B$3:$B$197,B65),),)</f>
        <v>0</v>
      </c>
      <c r="M65" s="633">
        <f>IFERROR(IF(B65="Funkcna poziadavka",VLOOKUP(G65,MODULY_CBA!$B$3:$E$23,3,0),),)</f>
        <v>0.99499999999999988</v>
      </c>
      <c r="N65" s="633">
        <f>IFERROR(IF(B65="funkcna poziadavka",VLOOKUP(G65,MODULY_CBA!$B$3:$E$23,2,0),),)</f>
        <v>0.99</v>
      </c>
      <c r="O65" s="634">
        <f t="shared" si="5"/>
        <v>9.8504999999999985</v>
      </c>
      <c r="P65" s="635">
        <f>IFERROR(O65*VLOOKUP(G65,MODULY_CBA!$B$3:$F$23,5,0),)</f>
        <v>295.51499999999993</v>
      </c>
      <c r="Q65" s="471" t="str">
        <f>IFERROR(VLOOKUP(G65,MODULY_CBA!$B$3:$I$23,6,0),"")</f>
        <v>Inkrement 2</v>
      </c>
      <c r="R65" s="385"/>
      <c r="S65" s="385"/>
      <c r="T65" s="385"/>
      <c r="U65" s="385"/>
      <c r="V65" s="388"/>
      <c r="W65" s="378"/>
      <c r="X65" s="378"/>
      <c r="Y65" s="385"/>
      <c r="Z65" s="385"/>
      <c r="AA65" s="385"/>
      <c r="AB65" s="385"/>
      <c r="AC65" s="385"/>
      <c r="AD65" s="385"/>
      <c r="AE65" s="385"/>
      <c r="AF65" s="390"/>
      <c r="AG65" s="389"/>
    </row>
    <row r="66" spans="1:33" s="387" customFormat="1" ht="51">
      <c r="A66" s="393" t="s">
        <v>861</v>
      </c>
      <c r="B66" s="393" t="s">
        <v>739</v>
      </c>
      <c r="C66" s="524" t="s">
        <v>794</v>
      </c>
      <c r="D66" s="386" t="s">
        <v>1084</v>
      </c>
      <c r="E66" s="525" t="s">
        <v>1201</v>
      </c>
      <c r="F66" s="386" t="s">
        <v>797</v>
      </c>
      <c r="G66" s="386" t="s">
        <v>1307</v>
      </c>
      <c r="H66" s="381">
        <v>1</v>
      </c>
      <c r="I66" s="381">
        <v>10</v>
      </c>
      <c r="J66" s="381">
        <f t="shared" ref="J66:J102" si="6">IF(ISNUMBER(H66),H66,)</f>
        <v>1</v>
      </c>
      <c r="K66" s="633">
        <f t="shared" ref="K66:K102" si="7">H66*I66</f>
        <v>10</v>
      </c>
      <c r="L66" s="634">
        <f>IFERROR(IF(B66="funkcna poziadavka",VLOOKUP(G66,MODULY_CBA!$B$3:$E$23,4,0)*H66/SUMIFS($H$3:$H$197,$G$3:$G$197,G66,$B$3:$B$197,B66),),)</f>
        <v>0</v>
      </c>
      <c r="M66" s="633">
        <f>IFERROR(IF(B66="Funkcna poziadavka",VLOOKUP(G66,MODULY_CBA!$B$3:$E$23,3,0),),)</f>
        <v>0.99499999999999988</v>
      </c>
      <c r="N66" s="633">
        <f>IFERROR(IF(B66="funkcna poziadavka",VLOOKUP(G66,MODULY_CBA!$B$3:$E$23,2,0),),)</f>
        <v>0.99</v>
      </c>
      <c r="O66" s="634">
        <f t="shared" ref="O66:O102" si="8">(I66+L66)*M66*N66*H66</f>
        <v>9.8504999999999985</v>
      </c>
      <c r="P66" s="635">
        <f>IFERROR(O66*VLOOKUP(G66,MODULY_CBA!$B$3:$F$23,5,0),)</f>
        <v>295.51499999999993</v>
      </c>
      <c r="Q66" s="471" t="str">
        <f>IFERROR(VLOOKUP(G66,MODULY_CBA!$B$3:$I$23,6,0),"")</f>
        <v>Inkrement 2</v>
      </c>
      <c r="R66" s="385"/>
      <c r="S66" s="385"/>
      <c r="T66" s="385"/>
      <c r="U66" s="385"/>
      <c r="V66" s="388"/>
      <c r="W66" s="378"/>
      <c r="X66" s="378"/>
      <c r="Y66" s="385"/>
      <c r="Z66" s="385"/>
      <c r="AA66" s="385"/>
      <c r="AB66" s="385"/>
      <c r="AC66" s="385"/>
      <c r="AD66" s="385"/>
      <c r="AE66" s="385"/>
      <c r="AF66" s="390"/>
      <c r="AG66" s="389"/>
    </row>
    <row r="67" spans="1:33" s="387" customFormat="1" ht="38.25">
      <c r="A67" s="393" t="s">
        <v>862</v>
      </c>
      <c r="B67" s="393" t="s">
        <v>739</v>
      </c>
      <c r="C67" s="524" t="s">
        <v>794</v>
      </c>
      <c r="D67" s="386" t="s">
        <v>1085</v>
      </c>
      <c r="E67" s="525" t="s">
        <v>1202</v>
      </c>
      <c r="F67" s="386" t="s">
        <v>797</v>
      </c>
      <c r="G67" s="386" t="s">
        <v>1307</v>
      </c>
      <c r="H67" s="381">
        <v>1</v>
      </c>
      <c r="I67" s="381">
        <v>10</v>
      </c>
      <c r="J67" s="381">
        <f t="shared" si="6"/>
        <v>1</v>
      </c>
      <c r="K67" s="633">
        <f t="shared" si="7"/>
        <v>10</v>
      </c>
      <c r="L67" s="634">
        <f>IFERROR(IF(B67="funkcna poziadavka",VLOOKUP(G67,MODULY_CBA!$B$3:$E$23,4,0)*H67/SUMIFS($H$3:$H$197,$G$3:$G$197,G67,$B$3:$B$197,B67),),)</f>
        <v>0</v>
      </c>
      <c r="M67" s="633">
        <f>IFERROR(IF(B67="Funkcna poziadavka",VLOOKUP(G67,MODULY_CBA!$B$3:$E$23,3,0),),)</f>
        <v>0.99499999999999988</v>
      </c>
      <c r="N67" s="633">
        <f>IFERROR(IF(B67="funkcna poziadavka",VLOOKUP(G67,MODULY_CBA!$B$3:$E$23,2,0),),)</f>
        <v>0.99</v>
      </c>
      <c r="O67" s="634">
        <f t="shared" si="8"/>
        <v>9.8504999999999985</v>
      </c>
      <c r="P67" s="635">
        <f>IFERROR(O67*VLOOKUP(G67,MODULY_CBA!$B$3:$F$23,5,0),)</f>
        <v>295.51499999999993</v>
      </c>
      <c r="Q67" s="471" t="str">
        <f>IFERROR(VLOOKUP(G67,MODULY_CBA!$B$3:$I$23,6,0),"")</f>
        <v>Inkrement 2</v>
      </c>
      <c r="R67" s="385"/>
      <c r="S67" s="385"/>
      <c r="T67" s="385"/>
      <c r="U67" s="385"/>
      <c r="V67" s="388"/>
      <c r="W67" s="378"/>
      <c r="X67" s="378"/>
      <c r="Y67" s="385"/>
      <c r="Z67" s="385"/>
      <c r="AA67" s="385"/>
      <c r="AB67" s="385"/>
      <c r="AC67" s="385"/>
      <c r="AD67" s="385"/>
      <c r="AE67" s="385"/>
      <c r="AF67" s="390"/>
      <c r="AG67" s="389"/>
    </row>
    <row r="68" spans="1:33" s="387" customFormat="1" ht="38.25">
      <c r="A68" s="393" t="s">
        <v>863</v>
      </c>
      <c r="B68" s="393" t="s">
        <v>739</v>
      </c>
      <c r="C68" s="524" t="s">
        <v>794</v>
      </c>
      <c r="D68" s="386" t="s">
        <v>1086</v>
      </c>
      <c r="E68" s="525" t="s">
        <v>1203</v>
      </c>
      <c r="F68" s="386" t="s">
        <v>797</v>
      </c>
      <c r="G68" s="386" t="s">
        <v>1307</v>
      </c>
      <c r="H68" s="381">
        <v>1</v>
      </c>
      <c r="I68" s="381">
        <v>10</v>
      </c>
      <c r="J68" s="381">
        <f t="shared" si="6"/>
        <v>1</v>
      </c>
      <c r="K68" s="633">
        <f t="shared" si="7"/>
        <v>10</v>
      </c>
      <c r="L68" s="634">
        <f>IFERROR(IF(B68="funkcna poziadavka",VLOOKUP(G68,MODULY_CBA!$B$3:$E$23,4,0)*H68/SUMIFS($H$3:$H$197,$G$3:$G$197,G68,$B$3:$B$197,B68),),)</f>
        <v>0</v>
      </c>
      <c r="M68" s="633">
        <f>IFERROR(IF(B68="Funkcna poziadavka",VLOOKUP(G68,MODULY_CBA!$B$3:$E$23,3,0),),)</f>
        <v>0.99499999999999988</v>
      </c>
      <c r="N68" s="633">
        <f>IFERROR(IF(B68="funkcna poziadavka",VLOOKUP(G68,MODULY_CBA!$B$3:$E$23,2,0),),)</f>
        <v>0.99</v>
      </c>
      <c r="O68" s="634">
        <f t="shared" si="8"/>
        <v>9.8504999999999985</v>
      </c>
      <c r="P68" s="635">
        <f>IFERROR(O68*VLOOKUP(G68,MODULY_CBA!$B$3:$F$23,5,0),)</f>
        <v>295.51499999999993</v>
      </c>
      <c r="Q68" s="471" t="str">
        <f>IFERROR(VLOOKUP(G68,MODULY_CBA!$B$3:$I$23,6,0),"")</f>
        <v>Inkrement 2</v>
      </c>
      <c r="R68" s="385"/>
      <c r="S68" s="385"/>
      <c r="T68" s="385"/>
      <c r="U68" s="385"/>
      <c r="V68" s="388"/>
      <c r="W68" s="378"/>
      <c r="X68" s="378"/>
      <c r="Y68" s="385"/>
      <c r="Z68" s="385"/>
      <c r="AA68" s="385"/>
      <c r="AB68" s="385"/>
      <c r="AC68" s="385"/>
      <c r="AD68" s="385"/>
      <c r="AE68" s="385"/>
      <c r="AF68" s="390"/>
      <c r="AG68" s="389"/>
    </row>
    <row r="69" spans="1:33" s="387" customFormat="1" ht="38.25">
      <c r="A69" s="393" t="s">
        <v>864</v>
      </c>
      <c r="B69" s="393" t="s">
        <v>739</v>
      </c>
      <c r="C69" s="524" t="s">
        <v>794</v>
      </c>
      <c r="D69" s="386" t="s">
        <v>1087</v>
      </c>
      <c r="E69" s="525" t="s">
        <v>1204</v>
      </c>
      <c r="F69" s="386" t="s">
        <v>797</v>
      </c>
      <c r="G69" s="386" t="s">
        <v>1308</v>
      </c>
      <c r="H69" s="381">
        <v>1</v>
      </c>
      <c r="I69" s="381">
        <v>10</v>
      </c>
      <c r="J69" s="381">
        <f t="shared" si="6"/>
        <v>1</v>
      </c>
      <c r="K69" s="633">
        <f t="shared" si="7"/>
        <v>10</v>
      </c>
      <c r="L69" s="634">
        <f>IFERROR(IF(B69="funkcna poziadavka",VLOOKUP(G69,MODULY_CBA!$B$3:$E$23,4,0)*H69/SUMIFS($H$3:$H$197,$G$3:$G$197,G69,$B$3:$B$197,B69),),)</f>
        <v>0</v>
      </c>
      <c r="M69" s="633">
        <f>IFERROR(IF(B69="Funkcna poziadavka",VLOOKUP(G69,MODULY_CBA!$B$3:$E$23,3,0),),)</f>
        <v>0.99499999999999988</v>
      </c>
      <c r="N69" s="633">
        <f>IFERROR(IF(B69="funkcna poziadavka",VLOOKUP(G69,MODULY_CBA!$B$3:$E$23,2,0),),)</f>
        <v>0.99</v>
      </c>
      <c r="O69" s="634">
        <f t="shared" si="8"/>
        <v>9.8504999999999985</v>
      </c>
      <c r="P69" s="635">
        <f>IFERROR(O69*VLOOKUP(G69,MODULY_CBA!$B$3:$F$23,5,0),)</f>
        <v>295.51499999999993</v>
      </c>
      <c r="Q69" s="471" t="str">
        <f>IFERROR(VLOOKUP(G69,MODULY_CBA!$B$3:$I$23,6,0),"")</f>
        <v>Inkrement 2</v>
      </c>
      <c r="R69" s="385"/>
      <c r="S69" s="385"/>
      <c r="T69" s="385"/>
      <c r="U69" s="385"/>
      <c r="V69" s="388"/>
      <c r="W69" s="378"/>
      <c r="X69" s="378"/>
      <c r="Y69" s="385"/>
      <c r="Z69" s="385"/>
      <c r="AA69" s="385"/>
      <c r="AB69" s="385"/>
      <c r="AC69" s="385"/>
      <c r="AD69" s="385"/>
      <c r="AE69" s="385"/>
      <c r="AF69" s="390"/>
      <c r="AG69" s="389"/>
    </row>
    <row r="70" spans="1:33" s="387" customFormat="1" ht="38.25">
      <c r="A70" s="393" t="s">
        <v>865</v>
      </c>
      <c r="B70" s="393" t="s">
        <v>739</v>
      </c>
      <c r="C70" s="524" t="s">
        <v>794</v>
      </c>
      <c r="D70" s="386" t="s">
        <v>1088</v>
      </c>
      <c r="E70" s="525" t="s">
        <v>1205</v>
      </c>
      <c r="F70" s="386" t="s">
        <v>797</v>
      </c>
      <c r="G70" s="386" t="s">
        <v>1308</v>
      </c>
      <c r="H70" s="381">
        <v>1</v>
      </c>
      <c r="I70" s="381">
        <v>10</v>
      </c>
      <c r="J70" s="381">
        <f t="shared" si="6"/>
        <v>1</v>
      </c>
      <c r="K70" s="633">
        <f t="shared" si="7"/>
        <v>10</v>
      </c>
      <c r="L70" s="634">
        <f>IFERROR(IF(B70="funkcna poziadavka",VLOOKUP(G70,MODULY_CBA!$B$3:$E$23,4,0)*H70/SUMIFS($H$3:$H$197,$G$3:$G$197,G70,$B$3:$B$197,B70),),)</f>
        <v>0</v>
      </c>
      <c r="M70" s="633">
        <f>IFERROR(IF(B70="Funkcna poziadavka",VLOOKUP(G70,MODULY_CBA!$B$3:$E$23,3,0),),)</f>
        <v>0.99499999999999988</v>
      </c>
      <c r="N70" s="633">
        <f>IFERROR(IF(B70="funkcna poziadavka",VLOOKUP(G70,MODULY_CBA!$B$3:$E$23,2,0),),)</f>
        <v>0.99</v>
      </c>
      <c r="O70" s="634">
        <f t="shared" si="8"/>
        <v>9.8504999999999985</v>
      </c>
      <c r="P70" s="635">
        <f>IFERROR(O70*VLOOKUP(G70,MODULY_CBA!$B$3:$F$23,5,0),)</f>
        <v>295.51499999999993</v>
      </c>
      <c r="Q70" s="471" t="str">
        <f>IFERROR(VLOOKUP(G70,MODULY_CBA!$B$3:$I$23,6,0),"")</f>
        <v>Inkrement 2</v>
      </c>
      <c r="R70" s="385"/>
      <c r="S70" s="385"/>
      <c r="T70" s="385"/>
      <c r="U70" s="385"/>
      <c r="V70" s="388"/>
      <c r="W70" s="378"/>
      <c r="X70" s="378"/>
      <c r="Y70" s="385"/>
      <c r="Z70" s="385"/>
      <c r="AA70" s="385"/>
      <c r="AB70" s="385"/>
      <c r="AC70" s="385"/>
      <c r="AD70" s="385"/>
      <c r="AE70" s="385"/>
      <c r="AF70" s="390"/>
      <c r="AG70" s="389"/>
    </row>
    <row r="71" spans="1:33" s="387" customFormat="1" ht="38.25">
      <c r="A71" s="393" t="s">
        <v>866</v>
      </c>
      <c r="B71" s="393" t="s">
        <v>739</v>
      </c>
      <c r="C71" s="524" t="s">
        <v>794</v>
      </c>
      <c r="D71" s="386" t="s">
        <v>1089</v>
      </c>
      <c r="E71" s="525" t="s">
        <v>1206</v>
      </c>
      <c r="F71" s="386" t="s">
        <v>797</v>
      </c>
      <c r="G71" s="386" t="s">
        <v>1308</v>
      </c>
      <c r="H71" s="381">
        <v>1</v>
      </c>
      <c r="I71" s="381">
        <v>10</v>
      </c>
      <c r="J71" s="381">
        <f t="shared" si="6"/>
        <v>1</v>
      </c>
      <c r="K71" s="633">
        <f t="shared" si="7"/>
        <v>10</v>
      </c>
      <c r="L71" s="634">
        <f>IFERROR(IF(B71="funkcna poziadavka",VLOOKUP(G71,MODULY_CBA!$B$3:$E$23,4,0)*H71/SUMIFS($H$3:$H$197,$G$3:$G$197,G71,$B$3:$B$197,B71),),)</f>
        <v>0</v>
      </c>
      <c r="M71" s="633">
        <f>IFERROR(IF(B71="Funkcna poziadavka",VLOOKUP(G71,MODULY_CBA!$B$3:$E$23,3,0),),)</f>
        <v>0.99499999999999988</v>
      </c>
      <c r="N71" s="633">
        <f>IFERROR(IF(B71="funkcna poziadavka",VLOOKUP(G71,MODULY_CBA!$B$3:$E$23,2,0),),)</f>
        <v>0.99</v>
      </c>
      <c r="O71" s="634">
        <f t="shared" si="8"/>
        <v>9.8504999999999985</v>
      </c>
      <c r="P71" s="635">
        <f>IFERROR(O71*VLOOKUP(G71,MODULY_CBA!$B$3:$F$23,5,0),)</f>
        <v>295.51499999999993</v>
      </c>
      <c r="Q71" s="471" t="str">
        <f>IFERROR(VLOOKUP(G71,MODULY_CBA!$B$3:$I$23,6,0),"")</f>
        <v>Inkrement 2</v>
      </c>
      <c r="R71" s="385"/>
      <c r="S71" s="385"/>
      <c r="T71" s="385"/>
      <c r="U71" s="385"/>
      <c r="V71" s="388"/>
      <c r="W71" s="378"/>
      <c r="X71" s="378"/>
      <c r="Y71" s="385"/>
      <c r="Z71" s="385"/>
      <c r="AA71" s="385"/>
      <c r="AB71" s="385"/>
      <c r="AC71" s="385"/>
      <c r="AD71" s="385"/>
      <c r="AE71" s="385"/>
      <c r="AF71" s="390"/>
      <c r="AG71" s="389"/>
    </row>
    <row r="72" spans="1:33" s="387" customFormat="1" ht="38.25">
      <c r="A72" s="393" t="s">
        <v>867</v>
      </c>
      <c r="B72" s="393" t="s">
        <v>739</v>
      </c>
      <c r="C72" s="524" t="s">
        <v>794</v>
      </c>
      <c r="D72" s="386" t="s">
        <v>1090</v>
      </c>
      <c r="E72" s="525" t="s">
        <v>1207</v>
      </c>
      <c r="F72" s="386" t="s">
        <v>797</v>
      </c>
      <c r="G72" s="386" t="s">
        <v>1308</v>
      </c>
      <c r="H72" s="381">
        <v>1</v>
      </c>
      <c r="I72" s="381">
        <v>10</v>
      </c>
      <c r="J72" s="381">
        <f t="shared" si="6"/>
        <v>1</v>
      </c>
      <c r="K72" s="633">
        <f t="shared" si="7"/>
        <v>10</v>
      </c>
      <c r="L72" s="634">
        <f>IFERROR(IF(B72="funkcna poziadavka",VLOOKUP(G72,MODULY_CBA!$B$3:$E$23,4,0)*H72/SUMIFS($H$3:$H$197,$G$3:$G$197,G72,$B$3:$B$197,B72),),)</f>
        <v>0</v>
      </c>
      <c r="M72" s="633">
        <f>IFERROR(IF(B72="Funkcna poziadavka",VLOOKUP(G72,MODULY_CBA!$B$3:$E$23,3,0),),)</f>
        <v>0.99499999999999988</v>
      </c>
      <c r="N72" s="633">
        <f>IFERROR(IF(B72="funkcna poziadavka",VLOOKUP(G72,MODULY_CBA!$B$3:$E$23,2,0),),)</f>
        <v>0.99</v>
      </c>
      <c r="O72" s="634">
        <f t="shared" si="8"/>
        <v>9.8504999999999985</v>
      </c>
      <c r="P72" s="635">
        <f>IFERROR(O72*VLOOKUP(G72,MODULY_CBA!$B$3:$F$23,5,0),)</f>
        <v>295.51499999999993</v>
      </c>
      <c r="Q72" s="471" t="str">
        <f>IFERROR(VLOOKUP(G72,MODULY_CBA!$B$3:$I$23,6,0),"")</f>
        <v>Inkrement 2</v>
      </c>
      <c r="R72" s="385"/>
      <c r="S72" s="385"/>
      <c r="T72" s="385"/>
      <c r="U72" s="385"/>
      <c r="V72" s="388"/>
      <c r="W72" s="378"/>
      <c r="X72" s="378"/>
      <c r="Y72" s="385"/>
      <c r="Z72" s="385"/>
      <c r="AA72" s="385"/>
      <c r="AB72" s="385"/>
      <c r="AC72" s="385"/>
      <c r="AD72" s="385"/>
      <c r="AE72" s="385"/>
      <c r="AF72" s="390"/>
      <c r="AG72" s="389"/>
    </row>
    <row r="73" spans="1:33" s="387" customFormat="1" ht="38.25">
      <c r="A73" s="393" t="s">
        <v>868</v>
      </c>
      <c r="B73" s="393" t="s">
        <v>739</v>
      </c>
      <c r="C73" s="524" t="s">
        <v>794</v>
      </c>
      <c r="D73" s="386" t="s">
        <v>1091</v>
      </c>
      <c r="E73" s="525" t="s">
        <v>1208</v>
      </c>
      <c r="F73" s="386" t="s">
        <v>797</v>
      </c>
      <c r="G73" s="386" t="s">
        <v>1308</v>
      </c>
      <c r="H73" s="381">
        <v>1</v>
      </c>
      <c r="I73" s="381">
        <v>10</v>
      </c>
      <c r="J73" s="381">
        <f t="shared" si="6"/>
        <v>1</v>
      </c>
      <c r="K73" s="633">
        <f t="shared" si="7"/>
        <v>10</v>
      </c>
      <c r="L73" s="634">
        <f>IFERROR(IF(B73="funkcna poziadavka",VLOOKUP(G73,MODULY_CBA!$B$3:$E$23,4,0)*H73/SUMIFS($H$3:$H$197,$G$3:$G$197,G73,$B$3:$B$197,B73),),)</f>
        <v>0</v>
      </c>
      <c r="M73" s="633">
        <f>IFERROR(IF(B73="Funkcna poziadavka",VLOOKUP(G73,MODULY_CBA!$B$3:$E$23,3,0),),)</f>
        <v>0.99499999999999988</v>
      </c>
      <c r="N73" s="633">
        <f>IFERROR(IF(B73="funkcna poziadavka",VLOOKUP(G73,MODULY_CBA!$B$3:$E$23,2,0),),)</f>
        <v>0.99</v>
      </c>
      <c r="O73" s="634">
        <f t="shared" si="8"/>
        <v>9.8504999999999985</v>
      </c>
      <c r="P73" s="635">
        <f>IFERROR(O73*VLOOKUP(G73,MODULY_CBA!$B$3:$F$23,5,0),)</f>
        <v>295.51499999999993</v>
      </c>
      <c r="Q73" s="471" t="str">
        <f>IFERROR(VLOOKUP(G73,MODULY_CBA!$B$3:$I$23,6,0),"")</f>
        <v>Inkrement 2</v>
      </c>
      <c r="R73" s="385"/>
      <c r="S73" s="385"/>
      <c r="T73" s="385"/>
      <c r="U73" s="385"/>
      <c r="V73" s="388"/>
      <c r="W73" s="378"/>
      <c r="X73" s="378"/>
      <c r="Y73" s="385"/>
      <c r="Z73" s="385"/>
      <c r="AA73" s="385"/>
      <c r="AB73" s="385"/>
      <c r="AC73" s="385"/>
      <c r="AD73" s="385"/>
      <c r="AE73" s="385"/>
      <c r="AF73" s="390"/>
      <c r="AG73" s="389"/>
    </row>
    <row r="74" spans="1:33" s="387" customFormat="1" ht="38.25">
      <c r="A74" s="393" t="s">
        <v>869</v>
      </c>
      <c r="B74" s="393" t="s">
        <v>739</v>
      </c>
      <c r="C74" s="524" t="s">
        <v>794</v>
      </c>
      <c r="D74" s="386" t="s">
        <v>1092</v>
      </c>
      <c r="E74" s="525" t="s">
        <v>1209</v>
      </c>
      <c r="F74" s="386" t="s">
        <v>797</v>
      </c>
      <c r="G74" s="386" t="s">
        <v>1308</v>
      </c>
      <c r="H74" s="381">
        <v>1</v>
      </c>
      <c r="I74" s="381">
        <v>10</v>
      </c>
      <c r="J74" s="381">
        <f t="shared" si="6"/>
        <v>1</v>
      </c>
      <c r="K74" s="633">
        <f t="shared" si="7"/>
        <v>10</v>
      </c>
      <c r="L74" s="634">
        <f>IFERROR(IF(B74="funkcna poziadavka",VLOOKUP(G74,MODULY_CBA!$B$3:$E$23,4,0)*H74/SUMIFS($H$3:$H$197,$G$3:$G$197,G74,$B$3:$B$197,B74),),)</f>
        <v>0</v>
      </c>
      <c r="M74" s="633">
        <f>IFERROR(IF(B74="Funkcna poziadavka",VLOOKUP(G74,MODULY_CBA!$B$3:$E$23,3,0),),)</f>
        <v>0.99499999999999988</v>
      </c>
      <c r="N74" s="633">
        <f>IFERROR(IF(B74="funkcna poziadavka",VLOOKUP(G74,MODULY_CBA!$B$3:$E$23,2,0),),)</f>
        <v>0.99</v>
      </c>
      <c r="O74" s="634">
        <f t="shared" si="8"/>
        <v>9.8504999999999985</v>
      </c>
      <c r="P74" s="635">
        <f>IFERROR(O74*VLOOKUP(G74,MODULY_CBA!$B$3:$F$23,5,0),)</f>
        <v>295.51499999999993</v>
      </c>
      <c r="Q74" s="471" t="str">
        <f>IFERROR(VLOOKUP(G74,MODULY_CBA!$B$3:$I$23,6,0),"")</f>
        <v>Inkrement 2</v>
      </c>
      <c r="R74" s="385"/>
      <c r="S74" s="385"/>
      <c r="T74" s="385"/>
      <c r="U74" s="385"/>
      <c r="V74" s="388"/>
      <c r="W74" s="378"/>
      <c r="X74" s="378"/>
      <c r="Y74" s="385"/>
      <c r="Z74" s="385"/>
      <c r="AA74" s="385"/>
      <c r="AB74" s="385"/>
      <c r="AC74" s="385"/>
      <c r="AD74" s="385"/>
      <c r="AE74" s="385"/>
      <c r="AF74" s="390"/>
      <c r="AG74" s="389"/>
    </row>
    <row r="75" spans="1:33" s="387" customFormat="1" ht="38.25">
      <c r="A75" s="393" t="s">
        <v>870</v>
      </c>
      <c r="B75" s="393" t="s">
        <v>739</v>
      </c>
      <c r="C75" s="524" t="s">
        <v>794</v>
      </c>
      <c r="D75" s="386" t="s">
        <v>1093</v>
      </c>
      <c r="E75" s="525" t="s">
        <v>1210</v>
      </c>
      <c r="F75" s="386" t="s">
        <v>797</v>
      </c>
      <c r="G75" s="386" t="s">
        <v>1308</v>
      </c>
      <c r="H75" s="381">
        <v>1</v>
      </c>
      <c r="I75" s="381">
        <v>10</v>
      </c>
      <c r="J75" s="381">
        <f t="shared" si="6"/>
        <v>1</v>
      </c>
      <c r="K75" s="633">
        <f t="shared" si="7"/>
        <v>10</v>
      </c>
      <c r="L75" s="634">
        <f>IFERROR(IF(B75="funkcna poziadavka",VLOOKUP(G75,MODULY_CBA!$B$3:$E$23,4,0)*H75/SUMIFS($H$3:$H$197,$G$3:$G$197,G75,$B$3:$B$197,B75),),)</f>
        <v>0</v>
      </c>
      <c r="M75" s="633">
        <f>IFERROR(IF(B75="Funkcna poziadavka",VLOOKUP(G75,MODULY_CBA!$B$3:$E$23,3,0),),)</f>
        <v>0.99499999999999988</v>
      </c>
      <c r="N75" s="633">
        <f>IFERROR(IF(B75="funkcna poziadavka",VLOOKUP(G75,MODULY_CBA!$B$3:$E$23,2,0),),)</f>
        <v>0.99</v>
      </c>
      <c r="O75" s="634">
        <f t="shared" si="8"/>
        <v>9.8504999999999985</v>
      </c>
      <c r="P75" s="635">
        <f>IFERROR(O75*VLOOKUP(G75,MODULY_CBA!$B$3:$F$23,5,0),)</f>
        <v>295.51499999999993</v>
      </c>
      <c r="Q75" s="471" t="str">
        <f>IFERROR(VLOOKUP(G75,MODULY_CBA!$B$3:$I$23,6,0),"")</f>
        <v>Inkrement 2</v>
      </c>
      <c r="R75" s="385"/>
      <c r="S75" s="385"/>
      <c r="T75" s="385"/>
      <c r="U75" s="385"/>
      <c r="V75" s="388"/>
      <c r="W75" s="378"/>
      <c r="X75" s="378"/>
      <c r="Y75" s="385"/>
      <c r="Z75" s="385"/>
      <c r="AA75" s="385"/>
      <c r="AB75" s="385"/>
      <c r="AC75" s="385"/>
      <c r="AD75" s="385"/>
      <c r="AE75" s="385"/>
      <c r="AF75" s="390"/>
      <c r="AG75" s="389"/>
    </row>
    <row r="76" spans="1:33" s="387" customFormat="1" ht="38.25">
      <c r="A76" s="393" t="s">
        <v>871</v>
      </c>
      <c r="B76" s="393" t="s">
        <v>739</v>
      </c>
      <c r="C76" s="524" t="s">
        <v>794</v>
      </c>
      <c r="D76" s="386" t="s">
        <v>1094</v>
      </c>
      <c r="E76" s="525" t="s">
        <v>1211</v>
      </c>
      <c r="F76" s="386" t="s">
        <v>797</v>
      </c>
      <c r="G76" s="386" t="s">
        <v>1308</v>
      </c>
      <c r="H76" s="381">
        <v>1</v>
      </c>
      <c r="I76" s="381">
        <v>10</v>
      </c>
      <c r="J76" s="381">
        <f t="shared" si="6"/>
        <v>1</v>
      </c>
      <c r="K76" s="633">
        <f t="shared" si="7"/>
        <v>10</v>
      </c>
      <c r="L76" s="634">
        <f>IFERROR(IF(B76="funkcna poziadavka",VLOOKUP(G76,MODULY_CBA!$B$3:$E$23,4,0)*H76/SUMIFS($H$3:$H$197,$G$3:$G$197,G76,$B$3:$B$197,B76),),)</f>
        <v>0</v>
      </c>
      <c r="M76" s="633">
        <f>IFERROR(IF(B76="Funkcna poziadavka",VLOOKUP(G76,MODULY_CBA!$B$3:$E$23,3,0),),)</f>
        <v>0.99499999999999988</v>
      </c>
      <c r="N76" s="633">
        <f>IFERROR(IF(B76="funkcna poziadavka",VLOOKUP(G76,MODULY_CBA!$B$3:$E$23,2,0),),)</f>
        <v>0.99</v>
      </c>
      <c r="O76" s="634">
        <f t="shared" si="8"/>
        <v>9.8504999999999985</v>
      </c>
      <c r="P76" s="635">
        <f>IFERROR(O76*VLOOKUP(G76,MODULY_CBA!$B$3:$F$23,5,0),)</f>
        <v>295.51499999999993</v>
      </c>
      <c r="Q76" s="471" t="str">
        <f>IFERROR(VLOOKUP(G76,MODULY_CBA!$B$3:$I$23,6,0),"")</f>
        <v>Inkrement 2</v>
      </c>
      <c r="R76" s="385"/>
      <c r="S76" s="385"/>
      <c r="T76" s="385"/>
      <c r="U76" s="385"/>
      <c r="V76" s="388"/>
      <c r="W76" s="378"/>
      <c r="X76" s="378"/>
      <c r="Y76" s="385"/>
      <c r="Z76" s="385"/>
      <c r="AA76" s="385"/>
      <c r="AB76" s="385"/>
      <c r="AC76" s="385"/>
      <c r="AD76" s="385"/>
      <c r="AE76" s="385"/>
      <c r="AF76" s="390"/>
      <c r="AG76" s="389"/>
    </row>
    <row r="77" spans="1:33" s="387" customFormat="1" ht="38.25">
      <c r="A77" s="393" t="s">
        <v>872</v>
      </c>
      <c r="B77" s="393" t="s">
        <v>739</v>
      </c>
      <c r="C77" s="524" t="s">
        <v>794</v>
      </c>
      <c r="D77" s="386" t="s">
        <v>1095</v>
      </c>
      <c r="E77" s="525" t="s">
        <v>1212</v>
      </c>
      <c r="F77" s="386" t="s">
        <v>797</v>
      </c>
      <c r="G77" s="386" t="s">
        <v>1308</v>
      </c>
      <c r="H77" s="381">
        <v>1</v>
      </c>
      <c r="I77" s="381">
        <v>10</v>
      </c>
      <c r="J77" s="381">
        <f t="shared" si="6"/>
        <v>1</v>
      </c>
      <c r="K77" s="633">
        <f t="shared" si="7"/>
        <v>10</v>
      </c>
      <c r="L77" s="634">
        <f>IFERROR(IF(B77="funkcna poziadavka",VLOOKUP(G77,MODULY_CBA!$B$3:$E$23,4,0)*H77/SUMIFS($H$3:$H$197,$G$3:$G$197,G77,$B$3:$B$197,B77),),)</f>
        <v>0</v>
      </c>
      <c r="M77" s="633">
        <f>IFERROR(IF(B77="Funkcna poziadavka",VLOOKUP(G77,MODULY_CBA!$B$3:$E$23,3,0),),)</f>
        <v>0.99499999999999988</v>
      </c>
      <c r="N77" s="633">
        <f>IFERROR(IF(B77="funkcna poziadavka",VLOOKUP(G77,MODULY_CBA!$B$3:$E$23,2,0),),)</f>
        <v>0.99</v>
      </c>
      <c r="O77" s="634">
        <f t="shared" si="8"/>
        <v>9.8504999999999985</v>
      </c>
      <c r="P77" s="635">
        <f>IFERROR(O77*VLOOKUP(G77,MODULY_CBA!$B$3:$F$23,5,0),)</f>
        <v>295.51499999999993</v>
      </c>
      <c r="Q77" s="471" t="str">
        <f>IFERROR(VLOOKUP(G77,MODULY_CBA!$B$3:$I$23,6,0),"")</f>
        <v>Inkrement 2</v>
      </c>
      <c r="R77" s="385"/>
      <c r="S77" s="385"/>
      <c r="T77" s="385"/>
      <c r="U77" s="385"/>
      <c r="V77" s="388"/>
      <c r="W77" s="378"/>
      <c r="X77" s="378"/>
      <c r="Y77" s="385"/>
      <c r="Z77" s="385"/>
      <c r="AA77" s="385"/>
      <c r="AB77" s="385"/>
      <c r="AC77" s="385"/>
      <c r="AD77" s="385"/>
      <c r="AE77" s="385"/>
      <c r="AF77" s="390"/>
      <c r="AG77" s="389"/>
    </row>
    <row r="78" spans="1:33" s="387" customFormat="1" ht="38.25">
      <c r="A78" s="393" t="s">
        <v>873</v>
      </c>
      <c r="B78" s="393" t="s">
        <v>739</v>
      </c>
      <c r="C78" s="524" t="s">
        <v>794</v>
      </c>
      <c r="D78" s="386" t="s">
        <v>1096</v>
      </c>
      <c r="E78" s="525" t="s">
        <v>1213</v>
      </c>
      <c r="F78" s="386" t="s">
        <v>797</v>
      </c>
      <c r="G78" s="386" t="s">
        <v>1308</v>
      </c>
      <c r="H78" s="381">
        <v>1</v>
      </c>
      <c r="I78" s="381">
        <v>10</v>
      </c>
      <c r="J78" s="381">
        <f t="shared" si="6"/>
        <v>1</v>
      </c>
      <c r="K78" s="633">
        <f t="shared" si="7"/>
        <v>10</v>
      </c>
      <c r="L78" s="634">
        <f>IFERROR(IF(B78="funkcna poziadavka",VLOOKUP(G78,MODULY_CBA!$B$3:$E$23,4,0)*H78/SUMIFS($H$3:$H$197,$G$3:$G$197,G78,$B$3:$B$197,B78),),)</f>
        <v>0</v>
      </c>
      <c r="M78" s="633">
        <f>IFERROR(IF(B78="Funkcna poziadavka",VLOOKUP(G78,MODULY_CBA!$B$3:$E$23,3,0),),)</f>
        <v>0.99499999999999988</v>
      </c>
      <c r="N78" s="633">
        <f>IFERROR(IF(B78="funkcna poziadavka",VLOOKUP(G78,MODULY_CBA!$B$3:$E$23,2,0),),)</f>
        <v>0.99</v>
      </c>
      <c r="O78" s="634">
        <f t="shared" si="8"/>
        <v>9.8504999999999985</v>
      </c>
      <c r="P78" s="635">
        <f>IFERROR(O78*VLOOKUP(G78,MODULY_CBA!$B$3:$F$23,5,0),)</f>
        <v>295.51499999999993</v>
      </c>
      <c r="Q78" s="471" t="str">
        <f>IFERROR(VLOOKUP(G78,MODULY_CBA!$B$3:$I$23,6,0),"")</f>
        <v>Inkrement 2</v>
      </c>
      <c r="R78" s="385"/>
      <c r="S78" s="385"/>
      <c r="T78" s="385"/>
      <c r="U78" s="385"/>
      <c r="V78" s="388"/>
      <c r="W78" s="378"/>
      <c r="X78" s="378"/>
      <c r="Y78" s="385"/>
      <c r="Z78" s="385"/>
      <c r="AA78" s="385"/>
      <c r="AB78" s="385"/>
      <c r="AC78" s="385"/>
      <c r="AD78" s="385"/>
      <c r="AE78" s="385"/>
      <c r="AF78" s="390"/>
      <c r="AG78" s="389"/>
    </row>
    <row r="79" spans="1:33" s="387" customFormat="1" ht="51">
      <c r="A79" s="393" t="s">
        <v>874</v>
      </c>
      <c r="B79" s="393" t="s">
        <v>739</v>
      </c>
      <c r="C79" s="524" t="s">
        <v>795</v>
      </c>
      <c r="D79" s="386" t="s">
        <v>1097</v>
      </c>
      <c r="E79" s="525" t="s">
        <v>1214</v>
      </c>
      <c r="F79" s="386" t="s">
        <v>797</v>
      </c>
      <c r="G79" s="386" t="s">
        <v>1308</v>
      </c>
      <c r="H79" s="381">
        <v>1</v>
      </c>
      <c r="I79" s="381">
        <v>10</v>
      </c>
      <c r="J79" s="381">
        <f t="shared" si="6"/>
        <v>1</v>
      </c>
      <c r="K79" s="633">
        <f t="shared" si="7"/>
        <v>10</v>
      </c>
      <c r="L79" s="634">
        <f>IFERROR(IF(B79="funkcna poziadavka",VLOOKUP(G79,MODULY_CBA!$B$3:$E$23,4,0)*H79/SUMIFS($H$3:$H$197,$G$3:$G$197,G79,$B$3:$B$197,B79),),)</f>
        <v>0</v>
      </c>
      <c r="M79" s="633">
        <f>IFERROR(IF(B79="Funkcna poziadavka",VLOOKUP(G79,MODULY_CBA!$B$3:$E$23,3,0),),)</f>
        <v>0.99499999999999988</v>
      </c>
      <c r="N79" s="633">
        <f>IFERROR(IF(B79="funkcna poziadavka",VLOOKUP(G79,MODULY_CBA!$B$3:$E$23,2,0),),)</f>
        <v>0.99</v>
      </c>
      <c r="O79" s="634">
        <f t="shared" si="8"/>
        <v>9.8504999999999985</v>
      </c>
      <c r="P79" s="635">
        <f>IFERROR(O79*VLOOKUP(G79,MODULY_CBA!$B$3:$F$23,5,0),)</f>
        <v>295.51499999999993</v>
      </c>
      <c r="Q79" s="471" t="str">
        <f>IFERROR(VLOOKUP(G79,MODULY_CBA!$B$3:$I$23,6,0),"")</f>
        <v>Inkrement 2</v>
      </c>
      <c r="R79" s="385"/>
      <c r="S79" s="385"/>
      <c r="T79" s="385"/>
      <c r="U79" s="385"/>
      <c r="V79" s="388"/>
      <c r="W79" s="378"/>
      <c r="X79" s="378"/>
      <c r="Y79" s="385"/>
      <c r="Z79" s="385"/>
      <c r="AA79" s="385"/>
      <c r="AB79" s="385"/>
      <c r="AC79" s="385"/>
      <c r="AD79" s="385"/>
      <c r="AE79" s="385"/>
      <c r="AF79" s="390"/>
      <c r="AG79" s="389"/>
    </row>
    <row r="80" spans="1:33" s="387" customFormat="1" ht="38.25">
      <c r="A80" s="393" t="s">
        <v>875</v>
      </c>
      <c r="B80" s="393" t="s">
        <v>739</v>
      </c>
      <c r="C80" s="524" t="s">
        <v>795</v>
      </c>
      <c r="D80" s="386" t="s">
        <v>1098</v>
      </c>
      <c r="E80" s="525" t="s">
        <v>1215</v>
      </c>
      <c r="F80" s="386" t="s">
        <v>797</v>
      </c>
      <c r="G80" s="386" t="s">
        <v>1309</v>
      </c>
      <c r="H80" s="381">
        <v>1</v>
      </c>
      <c r="I80" s="381">
        <v>10</v>
      </c>
      <c r="J80" s="381">
        <f t="shared" si="6"/>
        <v>1</v>
      </c>
      <c r="K80" s="633">
        <f t="shared" si="7"/>
        <v>10</v>
      </c>
      <c r="L80" s="634">
        <f>IFERROR(IF(B80="funkcna poziadavka",VLOOKUP(G80,MODULY_CBA!$B$3:$E$23,4,0)*H80/SUMIFS($H$3:$H$197,$G$3:$G$197,G80,$B$3:$B$197,B80),),)</f>
        <v>0</v>
      </c>
      <c r="M80" s="633">
        <f>IFERROR(IF(B80="Funkcna poziadavka",VLOOKUP(G80,MODULY_CBA!$B$3:$E$23,3,0),),)</f>
        <v>0.99499999999999988</v>
      </c>
      <c r="N80" s="633">
        <f>IFERROR(IF(B80="funkcna poziadavka",VLOOKUP(G80,MODULY_CBA!$B$3:$E$23,2,0),),)</f>
        <v>0.99</v>
      </c>
      <c r="O80" s="634">
        <f t="shared" si="8"/>
        <v>9.8504999999999985</v>
      </c>
      <c r="P80" s="635">
        <f>IFERROR(O80*VLOOKUP(G80,MODULY_CBA!$B$3:$F$23,5,0),)</f>
        <v>295.51499999999993</v>
      </c>
      <c r="Q80" s="471" t="str">
        <f>IFERROR(VLOOKUP(G80,MODULY_CBA!$B$3:$I$23,6,0),"")</f>
        <v>Inkrement 2</v>
      </c>
      <c r="R80" s="385"/>
      <c r="S80" s="385"/>
      <c r="T80" s="385"/>
      <c r="U80" s="385"/>
      <c r="V80" s="388"/>
      <c r="W80" s="378"/>
      <c r="X80" s="378"/>
      <c r="Y80" s="385"/>
      <c r="Z80" s="385"/>
      <c r="AA80" s="385"/>
      <c r="AB80" s="385"/>
      <c r="AC80" s="385"/>
      <c r="AD80" s="385"/>
      <c r="AE80" s="385"/>
      <c r="AF80" s="390"/>
      <c r="AG80" s="389"/>
    </row>
    <row r="81" spans="1:33" s="387" customFormat="1" ht="38.25">
      <c r="A81" s="393" t="s">
        <v>876</v>
      </c>
      <c r="B81" s="393" t="s">
        <v>739</v>
      </c>
      <c r="C81" s="524" t="s">
        <v>795</v>
      </c>
      <c r="D81" s="386" t="s">
        <v>1099</v>
      </c>
      <c r="E81" s="525" t="s">
        <v>1216</v>
      </c>
      <c r="F81" s="386" t="s">
        <v>797</v>
      </c>
      <c r="G81" s="386" t="s">
        <v>1309</v>
      </c>
      <c r="H81" s="381">
        <v>1</v>
      </c>
      <c r="I81" s="381">
        <v>10</v>
      </c>
      <c r="J81" s="381">
        <f t="shared" si="6"/>
        <v>1</v>
      </c>
      <c r="K81" s="633">
        <f t="shared" si="7"/>
        <v>10</v>
      </c>
      <c r="L81" s="634">
        <f>IFERROR(IF(B81="funkcna poziadavka",VLOOKUP(G81,MODULY_CBA!$B$3:$E$23,4,0)*H81/SUMIFS($H$3:$H$197,$G$3:$G$197,G81,$B$3:$B$197,B81),),)</f>
        <v>0</v>
      </c>
      <c r="M81" s="633">
        <f>IFERROR(IF(B81="Funkcna poziadavka",VLOOKUP(G81,MODULY_CBA!$B$3:$E$23,3,0),),)</f>
        <v>0.99499999999999988</v>
      </c>
      <c r="N81" s="633">
        <f>IFERROR(IF(B81="funkcna poziadavka",VLOOKUP(G81,MODULY_CBA!$B$3:$E$23,2,0),),)</f>
        <v>0.99</v>
      </c>
      <c r="O81" s="634">
        <f t="shared" si="8"/>
        <v>9.8504999999999985</v>
      </c>
      <c r="P81" s="635">
        <f>IFERROR(O81*VLOOKUP(G81,MODULY_CBA!$B$3:$F$23,5,0),)</f>
        <v>295.51499999999993</v>
      </c>
      <c r="Q81" s="471" t="str">
        <f>IFERROR(VLOOKUP(G81,MODULY_CBA!$B$3:$I$23,6,0),"")</f>
        <v>Inkrement 2</v>
      </c>
      <c r="R81" s="385"/>
      <c r="S81" s="385"/>
      <c r="T81" s="385"/>
      <c r="U81" s="385"/>
      <c r="V81" s="388"/>
      <c r="W81" s="378"/>
      <c r="X81" s="378"/>
      <c r="Y81" s="385"/>
      <c r="Z81" s="385"/>
      <c r="AA81" s="385"/>
      <c r="AB81" s="385"/>
      <c r="AC81" s="385"/>
      <c r="AD81" s="385"/>
      <c r="AE81" s="385"/>
      <c r="AF81" s="390"/>
      <c r="AG81" s="389"/>
    </row>
    <row r="82" spans="1:33" s="387" customFormat="1" ht="38.25">
      <c r="A82" s="393" t="s">
        <v>877</v>
      </c>
      <c r="B82" s="393" t="s">
        <v>739</v>
      </c>
      <c r="C82" s="524" t="s">
        <v>795</v>
      </c>
      <c r="D82" s="386" t="s">
        <v>1100</v>
      </c>
      <c r="E82" s="525" t="s">
        <v>1217</v>
      </c>
      <c r="F82" s="386" t="s">
        <v>797</v>
      </c>
      <c r="G82" s="386" t="s">
        <v>1309</v>
      </c>
      <c r="H82" s="381">
        <v>1</v>
      </c>
      <c r="I82" s="381">
        <v>10</v>
      </c>
      <c r="J82" s="381">
        <f t="shared" si="6"/>
        <v>1</v>
      </c>
      <c r="K82" s="633">
        <f t="shared" si="7"/>
        <v>10</v>
      </c>
      <c r="L82" s="634">
        <f>IFERROR(IF(B82="funkcna poziadavka",VLOOKUP(G82,MODULY_CBA!$B$3:$E$23,4,0)*H82/SUMIFS($H$3:$H$197,$G$3:$G$197,G82,$B$3:$B$197,B82),),)</f>
        <v>0</v>
      </c>
      <c r="M82" s="633">
        <f>IFERROR(IF(B82="Funkcna poziadavka",VLOOKUP(G82,MODULY_CBA!$B$3:$E$23,3,0),),)</f>
        <v>0.99499999999999988</v>
      </c>
      <c r="N82" s="633">
        <f>IFERROR(IF(B82="funkcna poziadavka",VLOOKUP(G82,MODULY_CBA!$B$3:$E$23,2,0),),)</f>
        <v>0.99</v>
      </c>
      <c r="O82" s="634">
        <f t="shared" si="8"/>
        <v>9.8504999999999985</v>
      </c>
      <c r="P82" s="635">
        <f>IFERROR(O82*VLOOKUP(G82,MODULY_CBA!$B$3:$F$23,5,0),)</f>
        <v>295.51499999999993</v>
      </c>
      <c r="Q82" s="471" t="str">
        <f>IFERROR(VLOOKUP(G82,MODULY_CBA!$B$3:$I$23,6,0),"")</f>
        <v>Inkrement 2</v>
      </c>
      <c r="R82" s="385"/>
      <c r="S82" s="385"/>
      <c r="T82" s="385"/>
      <c r="U82" s="385"/>
      <c r="V82" s="388"/>
      <c r="W82" s="378"/>
      <c r="X82" s="378"/>
      <c r="Y82" s="385"/>
      <c r="Z82" s="385"/>
      <c r="AA82" s="385"/>
      <c r="AB82" s="385"/>
      <c r="AC82" s="385"/>
      <c r="AD82" s="385"/>
      <c r="AE82" s="385"/>
      <c r="AF82" s="390"/>
      <c r="AG82" s="389"/>
    </row>
    <row r="83" spans="1:33" s="387" customFormat="1" ht="38.25">
      <c r="A83" s="393" t="s">
        <v>878</v>
      </c>
      <c r="B83" s="393" t="s">
        <v>739</v>
      </c>
      <c r="C83" s="524" t="s">
        <v>795</v>
      </c>
      <c r="D83" s="386" t="s">
        <v>1101</v>
      </c>
      <c r="E83" s="525" t="s">
        <v>1218</v>
      </c>
      <c r="F83" s="386" t="s">
        <v>797</v>
      </c>
      <c r="G83" s="386" t="s">
        <v>1309</v>
      </c>
      <c r="H83" s="381">
        <v>2</v>
      </c>
      <c r="I83" s="381">
        <v>10</v>
      </c>
      <c r="J83" s="381">
        <f t="shared" si="6"/>
        <v>2</v>
      </c>
      <c r="K83" s="633">
        <f t="shared" si="7"/>
        <v>20</v>
      </c>
      <c r="L83" s="634">
        <f>IFERROR(IF(B83="funkcna poziadavka",VLOOKUP(G83,MODULY_CBA!$B$3:$E$23,4,0)*H83/SUMIFS($H$3:$H$197,$G$3:$G$197,G83,$B$3:$B$197,B83),),)</f>
        <v>0</v>
      </c>
      <c r="M83" s="633">
        <f>IFERROR(IF(B83="Funkcna poziadavka",VLOOKUP(G83,MODULY_CBA!$B$3:$E$23,3,0),),)</f>
        <v>0.99499999999999988</v>
      </c>
      <c r="N83" s="633">
        <f>IFERROR(IF(B83="funkcna poziadavka",VLOOKUP(G83,MODULY_CBA!$B$3:$E$23,2,0),),)</f>
        <v>0.99</v>
      </c>
      <c r="O83" s="634">
        <f t="shared" si="8"/>
        <v>19.700999999999997</v>
      </c>
      <c r="P83" s="635">
        <f>IFERROR(O83*VLOOKUP(G83,MODULY_CBA!$B$3:$F$23,5,0),)</f>
        <v>591.02999999999986</v>
      </c>
      <c r="Q83" s="471" t="str">
        <f>IFERROR(VLOOKUP(G83,MODULY_CBA!$B$3:$I$23,6,0),"")</f>
        <v>Inkrement 2</v>
      </c>
      <c r="R83" s="385"/>
      <c r="S83" s="385"/>
      <c r="T83" s="385"/>
      <c r="U83" s="385"/>
      <c r="V83" s="388"/>
      <c r="W83" s="378"/>
      <c r="X83" s="378"/>
      <c r="Y83" s="385"/>
      <c r="Z83" s="385"/>
      <c r="AA83" s="385"/>
      <c r="AB83" s="385"/>
      <c r="AC83" s="385"/>
      <c r="AD83" s="385"/>
      <c r="AE83" s="385"/>
      <c r="AF83" s="390"/>
      <c r="AG83" s="389"/>
    </row>
    <row r="84" spans="1:33" s="387" customFormat="1" ht="38.25">
      <c r="A84" s="393" t="s">
        <v>879</v>
      </c>
      <c r="B84" s="393" t="s">
        <v>739</v>
      </c>
      <c r="C84" s="524" t="s">
        <v>795</v>
      </c>
      <c r="D84" s="386" t="s">
        <v>1102</v>
      </c>
      <c r="E84" s="525" t="s">
        <v>1219</v>
      </c>
      <c r="F84" s="386" t="s">
        <v>797</v>
      </c>
      <c r="G84" s="386" t="s">
        <v>1309</v>
      </c>
      <c r="H84" s="381">
        <v>2</v>
      </c>
      <c r="I84" s="381">
        <v>15</v>
      </c>
      <c r="J84" s="381">
        <f t="shared" si="6"/>
        <v>2</v>
      </c>
      <c r="K84" s="633">
        <f t="shared" si="7"/>
        <v>30</v>
      </c>
      <c r="L84" s="634">
        <f>IFERROR(IF(B84="funkcna poziadavka",VLOOKUP(G84,MODULY_CBA!$B$3:$E$23,4,0)*H84/SUMIFS($H$3:$H$197,$G$3:$G$197,G84,$B$3:$B$197,B84),),)</f>
        <v>0</v>
      </c>
      <c r="M84" s="633">
        <f>IFERROR(IF(B84="Funkcna poziadavka",VLOOKUP(G84,MODULY_CBA!$B$3:$E$23,3,0),),)</f>
        <v>0.99499999999999988</v>
      </c>
      <c r="N84" s="633">
        <f>IFERROR(IF(B84="funkcna poziadavka",VLOOKUP(G84,MODULY_CBA!$B$3:$E$23,2,0),),)</f>
        <v>0.99</v>
      </c>
      <c r="O84" s="634">
        <f t="shared" si="8"/>
        <v>29.551499999999997</v>
      </c>
      <c r="P84" s="635">
        <f>IFERROR(O84*VLOOKUP(G84,MODULY_CBA!$B$3:$F$23,5,0),)</f>
        <v>886.54499999999996</v>
      </c>
      <c r="Q84" s="471" t="str">
        <f>IFERROR(VLOOKUP(G84,MODULY_CBA!$B$3:$I$23,6,0),"")</f>
        <v>Inkrement 2</v>
      </c>
      <c r="R84" s="385"/>
      <c r="S84" s="385"/>
      <c r="T84" s="385"/>
      <c r="U84" s="385"/>
      <c r="V84" s="388"/>
      <c r="W84" s="378"/>
      <c r="X84" s="378"/>
      <c r="Y84" s="385"/>
      <c r="Z84" s="385"/>
      <c r="AA84" s="385"/>
      <c r="AB84" s="385"/>
      <c r="AC84" s="385"/>
      <c r="AD84" s="385"/>
      <c r="AE84" s="385"/>
      <c r="AF84" s="390"/>
      <c r="AG84" s="389"/>
    </row>
    <row r="85" spans="1:33" s="387" customFormat="1" ht="38.25">
      <c r="A85" s="393" t="s">
        <v>880</v>
      </c>
      <c r="B85" s="393" t="s">
        <v>739</v>
      </c>
      <c r="C85" s="524" t="s">
        <v>795</v>
      </c>
      <c r="D85" s="386" t="s">
        <v>1103</v>
      </c>
      <c r="E85" s="525" t="s">
        <v>1220</v>
      </c>
      <c r="F85" s="386" t="s">
        <v>797</v>
      </c>
      <c r="G85" s="386" t="s">
        <v>1309</v>
      </c>
      <c r="H85" s="381">
        <v>2</v>
      </c>
      <c r="I85" s="381">
        <v>15</v>
      </c>
      <c r="J85" s="381">
        <f t="shared" si="6"/>
        <v>2</v>
      </c>
      <c r="K85" s="633">
        <f t="shared" si="7"/>
        <v>30</v>
      </c>
      <c r="L85" s="634">
        <f>IFERROR(IF(B85="funkcna poziadavka",VLOOKUP(G85,MODULY_CBA!$B$3:$E$23,4,0)*H85/SUMIFS($H$3:$H$197,$G$3:$G$197,G85,$B$3:$B$197,B85),),)</f>
        <v>0</v>
      </c>
      <c r="M85" s="633">
        <f>IFERROR(IF(B85="Funkcna poziadavka",VLOOKUP(G85,MODULY_CBA!$B$3:$E$23,3,0),),)</f>
        <v>0.99499999999999988</v>
      </c>
      <c r="N85" s="633">
        <f>IFERROR(IF(B85="funkcna poziadavka",VLOOKUP(G85,MODULY_CBA!$B$3:$E$23,2,0),),)</f>
        <v>0.99</v>
      </c>
      <c r="O85" s="634">
        <f t="shared" si="8"/>
        <v>29.551499999999997</v>
      </c>
      <c r="P85" s="635">
        <f>IFERROR(O85*VLOOKUP(G85,MODULY_CBA!$B$3:$F$23,5,0),)</f>
        <v>886.54499999999996</v>
      </c>
      <c r="Q85" s="471" t="str">
        <f>IFERROR(VLOOKUP(G85,MODULY_CBA!$B$3:$I$23,6,0),"")</f>
        <v>Inkrement 2</v>
      </c>
      <c r="R85" s="385"/>
      <c r="S85" s="385"/>
      <c r="T85" s="385"/>
      <c r="U85" s="385"/>
      <c r="V85" s="388"/>
      <c r="W85" s="378"/>
      <c r="X85" s="378"/>
      <c r="Y85" s="385"/>
      <c r="Z85" s="385"/>
      <c r="AA85" s="385"/>
      <c r="AB85" s="385"/>
      <c r="AC85" s="385"/>
      <c r="AD85" s="385"/>
      <c r="AE85" s="385"/>
      <c r="AF85" s="390"/>
      <c r="AG85" s="389"/>
    </row>
    <row r="86" spans="1:33" s="387" customFormat="1" ht="38.25">
      <c r="A86" s="393" t="s">
        <v>881</v>
      </c>
      <c r="B86" s="393" t="s">
        <v>739</v>
      </c>
      <c r="C86" s="524" t="s">
        <v>795</v>
      </c>
      <c r="D86" s="386" t="s">
        <v>1104</v>
      </c>
      <c r="E86" s="525" t="s">
        <v>1221</v>
      </c>
      <c r="F86" s="386" t="s">
        <v>797</v>
      </c>
      <c r="G86" s="386" t="s">
        <v>1309</v>
      </c>
      <c r="H86" s="381">
        <v>2</v>
      </c>
      <c r="I86" s="381">
        <v>15</v>
      </c>
      <c r="J86" s="381">
        <f t="shared" si="6"/>
        <v>2</v>
      </c>
      <c r="K86" s="633">
        <f t="shared" si="7"/>
        <v>30</v>
      </c>
      <c r="L86" s="634">
        <f>IFERROR(IF(B86="funkcna poziadavka",VLOOKUP(G86,MODULY_CBA!$B$3:$E$23,4,0)*H86/SUMIFS($H$3:$H$197,$G$3:$G$197,G86,$B$3:$B$197,B86),),)</f>
        <v>0</v>
      </c>
      <c r="M86" s="633">
        <f>IFERROR(IF(B86="Funkcna poziadavka",VLOOKUP(G86,MODULY_CBA!$B$3:$E$23,3,0),),)</f>
        <v>0.99499999999999988</v>
      </c>
      <c r="N86" s="633">
        <f>IFERROR(IF(B86="funkcna poziadavka",VLOOKUP(G86,MODULY_CBA!$B$3:$E$23,2,0),),)</f>
        <v>0.99</v>
      </c>
      <c r="O86" s="634">
        <f t="shared" si="8"/>
        <v>29.551499999999997</v>
      </c>
      <c r="P86" s="635">
        <f>IFERROR(O86*VLOOKUP(G86,MODULY_CBA!$B$3:$F$23,5,0),)</f>
        <v>886.54499999999996</v>
      </c>
      <c r="Q86" s="471" t="str">
        <f>IFERROR(VLOOKUP(G86,MODULY_CBA!$B$3:$I$23,6,0),"")</f>
        <v>Inkrement 2</v>
      </c>
      <c r="R86" s="385"/>
      <c r="S86" s="385"/>
      <c r="T86" s="385"/>
      <c r="U86" s="385"/>
      <c r="V86" s="388"/>
      <c r="W86" s="378"/>
      <c r="X86" s="378"/>
      <c r="Y86" s="385"/>
      <c r="Z86" s="385"/>
      <c r="AA86" s="385"/>
      <c r="AB86" s="385"/>
      <c r="AC86" s="385"/>
      <c r="AD86" s="385"/>
      <c r="AE86" s="385"/>
      <c r="AF86" s="390"/>
      <c r="AG86" s="389"/>
    </row>
    <row r="87" spans="1:33" s="387" customFormat="1" ht="38.25">
      <c r="A87" s="393" t="s">
        <v>882</v>
      </c>
      <c r="B87" s="393" t="s">
        <v>739</v>
      </c>
      <c r="C87" s="524" t="s">
        <v>795</v>
      </c>
      <c r="D87" s="386" t="s">
        <v>1105</v>
      </c>
      <c r="E87" s="525" t="s">
        <v>1222</v>
      </c>
      <c r="F87" s="386" t="s">
        <v>797</v>
      </c>
      <c r="G87" s="386" t="s">
        <v>1309</v>
      </c>
      <c r="H87" s="381">
        <v>2</v>
      </c>
      <c r="I87" s="381">
        <v>15</v>
      </c>
      <c r="J87" s="381">
        <f t="shared" si="6"/>
        <v>2</v>
      </c>
      <c r="K87" s="633">
        <f t="shared" si="7"/>
        <v>30</v>
      </c>
      <c r="L87" s="634">
        <f>IFERROR(IF(B87="funkcna poziadavka",VLOOKUP(G87,MODULY_CBA!$B$3:$E$23,4,0)*H87/SUMIFS($H$3:$H$197,$G$3:$G$197,G87,$B$3:$B$197,B87),),)</f>
        <v>0</v>
      </c>
      <c r="M87" s="633">
        <f>IFERROR(IF(B87="Funkcna poziadavka",VLOOKUP(G87,MODULY_CBA!$B$3:$E$23,3,0),),)</f>
        <v>0.99499999999999988</v>
      </c>
      <c r="N87" s="633">
        <f>IFERROR(IF(B87="funkcna poziadavka",VLOOKUP(G87,MODULY_CBA!$B$3:$E$23,2,0),),)</f>
        <v>0.99</v>
      </c>
      <c r="O87" s="634">
        <f t="shared" si="8"/>
        <v>29.551499999999997</v>
      </c>
      <c r="P87" s="635">
        <f>IFERROR(O87*VLOOKUP(G87,MODULY_CBA!$B$3:$F$23,5,0),)</f>
        <v>886.54499999999996</v>
      </c>
      <c r="Q87" s="471" t="str">
        <f>IFERROR(VLOOKUP(G87,MODULY_CBA!$B$3:$I$23,6,0),"")</f>
        <v>Inkrement 2</v>
      </c>
      <c r="R87" s="385"/>
      <c r="S87" s="385"/>
      <c r="T87" s="385"/>
      <c r="U87" s="385"/>
      <c r="V87" s="388"/>
      <c r="W87" s="378"/>
      <c r="X87" s="378"/>
      <c r="Y87" s="385"/>
      <c r="Z87" s="385"/>
      <c r="AA87" s="385"/>
      <c r="AB87" s="385"/>
      <c r="AC87" s="385"/>
      <c r="AD87" s="385"/>
      <c r="AE87" s="385"/>
      <c r="AF87" s="390"/>
      <c r="AG87" s="389"/>
    </row>
    <row r="88" spans="1:33" s="387" customFormat="1" ht="38.25">
      <c r="A88" s="393" t="s">
        <v>883</v>
      </c>
      <c r="B88" s="393" t="s">
        <v>739</v>
      </c>
      <c r="C88" s="524" t="s">
        <v>795</v>
      </c>
      <c r="D88" s="386" t="s">
        <v>1106</v>
      </c>
      <c r="E88" s="525" t="s">
        <v>1223</v>
      </c>
      <c r="F88" s="386" t="s">
        <v>797</v>
      </c>
      <c r="G88" s="386" t="s">
        <v>1309</v>
      </c>
      <c r="H88" s="381">
        <v>2</v>
      </c>
      <c r="I88" s="381">
        <v>15</v>
      </c>
      <c r="J88" s="381">
        <f t="shared" si="6"/>
        <v>2</v>
      </c>
      <c r="K88" s="633">
        <f t="shared" si="7"/>
        <v>30</v>
      </c>
      <c r="L88" s="634">
        <f>IFERROR(IF(B88="funkcna poziadavka",VLOOKUP(G88,MODULY_CBA!$B$3:$E$23,4,0)*H88/SUMIFS($H$3:$H$197,$G$3:$G$197,G88,$B$3:$B$197,B88),),)</f>
        <v>0</v>
      </c>
      <c r="M88" s="633">
        <f>IFERROR(IF(B88="Funkcna poziadavka",VLOOKUP(G88,MODULY_CBA!$B$3:$E$23,3,0),),)</f>
        <v>0.99499999999999988</v>
      </c>
      <c r="N88" s="633">
        <f>IFERROR(IF(B88="funkcna poziadavka",VLOOKUP(G88,MODULY_CBA!$B$3:$E$23,2,0),),)</f>
        <v>0.99</v>
      </c>
      <c r="O88" s="634">
        <f t="shared" si="8"/>
        <v>29.551499999999997</v>
      </c>
      <c r="P88" s="635">
        <f>IFERROR(O88*VLOOKUP(G88,MODULY_CBA!$B$3:$F$23,5,0),)</f>
        <v>886.54499999999996</v>
      </c>
      <c r="Q88" s="471" t="str">
        <f>IFERROR(VLOOKUP(G88,MODULY_CBA!$B$3:$I$23,6,0),"")</f>
        <v>Inkrement 2</v>
      </c>
      <c r="R88" s="385"/>
      <c r="S88" s="385"/>
      <c r="T88" s="385"/>
      <c r="U88" s="385"/>
      <c r="V88" s="388"/>
      <c r="W88" s="378"/>
      <c r="X88" s="378"/>
      <c r="Y88" s="385"/>
      <c r="Z88" s="385"/>
      <c r="AA88" s="385"/>
      <c r="AB88" s="385"/>
      <c r="AC88" s="385"/>
      <c r="AD88" s="385"/>
      <c r="AE88" s="385"/>
      <c r="AF88" s="390"/>
      <c r="AG88" s="389"/>
    </row>
    <row r="89" spans="1:33" s="387" customFormat="1" ht="38.25">
      <c r="A89" s="393" t="s">
        <v>884</v>
      </c>
      <c r="B89" s="393" t="s">
        <v>739</v>
      </c>
      <c r="C89" s="524" t="s">
        <v>795</v>
      </c>
      <c r="D89" s="386" t="s">
        <v>1107</v>
      </c>
      <c r="E89" s="525" t="s">
        <v>1224</v>
      </c>
      <c r="F89" s="386" t="s">
        <v>797</v>
      </c>
      <c r="G89" s="386" t="s">
        <v>1309</v>
      </c>
      <c r="H89" s="381">
        <v>2</v>
      </c>
      <c r="I89" s="381">
        <v>15</v>
      </c>
      <c r="J89" s="381">
        <f t="shared" si="6"/>
        <v>2</v>
      </c>
      <c r="K89" s="633">
        <f t="shared" si="7"/>
        <v>30</v>
      </c>
      <c r="L89" s="634">
        <f>IFERROR(IF(B89="funkcna poziadavka",VLOOKUP(G89,MODULY_CBA!$B$3:$E$23,4,0)*H89/SUMIFS($H$3:$H$197,$G$3:$G$197,G89,$B$3:$B$197,B89),),)</f>
        <v>0</v>
      </c>
      <c r="M89" s="633">
        <f>IFERROR(IF(B89="Funkcna poziadavka",VLOOKUP(G89,MODULY_CBA!$B$3:$E$23,3,0),),)</f>
        <v>0.99499999999999988</v>
      </c>
      <c r="N89" s="633">
        <f>IFERROR(IF(B89="funkcna poziadavka",VLOOKUP(G89,MODULY_CBA!$B$3:$E$23,2,0),),)</f>
        <v>0.99</v>
      </c>
      <c r="O89" s="634">
        <f t="shared" si="8"/>
        <v>29.551499999999997</v>
      </c>
      <c r="P89" s="635">
        <f>IFERROR(O89*VLOOKUP(G89,MODULY_CBA!$B$3:$F$23,5,0),)</f>
        <v>886.54499999999996</v>
      </c>
      <c r="Q89" s="471" t="str">
        <f>IFERROR(VLOOKUP(G89,MODULY_CBA!$B$3:$I$23,6,0),"")</f>
        <v>Inkrement 2</v>
      </c>
      <c r="R89" s="385"/>
      <c r="S89" s="385"/>
      <c r="T89" s="385"/>
      <c r="U89" s="385"/>
      <c r="V89" s="388"/>
      <c r="W89" s="378"/>
      <c r="X89" s="378"/>
      <c r="Y89" s="385"/>
      <c r="Z89" s="385"/>
      <c r="AA89" s="385"/>
      <c r="AB89" s="385"/>
      <c r="AC89" s="385"/>
      <c r="AD89" s="385"/>
      <c r="AE89" s="385"/>
      <c r="AF89" s="390"/>
      <c r="AG89" s="389"/>
    </row>
    <row r="90" spans="1:33" s="387" customFormat="1" ht="38.25">
      <c r="A90" s="393" t="s">
        <v>885</v>
      </c>
      <c r="B90" s="393" t="s">
        <v>739</v>
      </c>
      <c r="C90" s="524" t="s">
        <v>795</v>
      </c>
      <c r="D90" s="386" t="s">
        <v>1108</v>
      </c>
      <c r="E90" s="525" t="s">
        <v>1225</v>
      </c>
      <c r="F90" s="386" t="s">
        <v>797</v>
      </c>
      <c r="G90" s="386" t="s">
        <v>1310</v>
      </c>
      <c r="H90" s="381">
        <v>2</v>
      </c>
      <c r="I90" s="381">
        <v>15</v>
      </c>
      <c r="J90" s="381">
        <f t="shared" si="6"/>
        <v>2</v>
      </c>
      <c r="K90" s="633">
        <f t="shared" si="7"/>
        <v>30</v>
      </c>
      <c r="L90" s="634">
        <f>IFERROR(IF(B90="funkcna poziadavka",VLOOKUP(G90,MODULY_CBA!$B$3:$E$23,4,0)*H90/SUMIFS($H$3:$H$197,$G$3:$G$197,G90,$B$3:$B$197,B90),),)</f>
        <v>0</v>
      </c>
      <c r="M90" s="633">
        <f>IFERROR(IF(B90="Funkcna poziadavka",VLOOKUP(G90,MODULY_CBA!$B$3:$E$23,3,0),),)</f>
        <v>0.99499999999999988</v>
      </c>
      <c r="N90" s="633">
        <f>IFERROR(IF(B90="funkcna poziadavka",VLOOKUP(G90,MODULY_CBA!$B$3:$E$23,2,0),),)</f>
        <v>0.99</v>
      </c>
      <c r="O90" s="634">
        <f t="shared" si="8"/>
        <v>29.551499999999997</v>
      </c>
      <c r="P90" s="635">
        <f>IFERROR(O90*VLOOKUP(G90,MODULY_CBA!$B$3:$F$23,5,0),)</f>
        <v>886.54499999999996</v>
      </c>
      <c r="Q90" s="471" t="str">
        <f>IFERROR(VLOOKUP(G90,MODULY_CBA!$B$3:$I$23,6,0),"")</f>
        <v>Inkrement 2</v>
      </c>
      <c r="R90" s="385"/>
      <c r="S90" s="385"/>
      <c r="T90" s="385"/>
      <c r="U90" s="385"/>
      <c r="V90" s="388"/>
      <c r="W90" s="378"/>
      <c r="X90" s="378"/>
      <c r="Y90" s="385"/>
      <c r="Z90" s="385"/>
      <c r="AA90" s="385"/>
      <c r="AB90" s="385"/>
      <c r="AC90" s="385"/>
      <c r="AD90" s="385"/>
      <c r="AE90" s="385"/>
      <c r="AF90" s="390"/>
      <c r="AG90" s="389"/>
    </row>
    <row r="91" spans="1:33" s="387" customFormat="1" ht="38.25">
      <c r="A91" s="393" t="s">
        <v>886</v>
      </c>
      <c r="B91" s="393" t="s">
        <v>739</v>
      </c>
      <c r="C91" s="524" t="s">
        <v>795</v>
      </c>
      <c r="D91" s="386" t="s">
        <v>1109</v>
      </c>
      <c r="E91" s="525" t="s">
        <v>1226</v>
      </c>
      <c r="F91" s="386" t="s">
        <v>797</v>
      </c>
      <c r="G91" s="386" t="s">
        <v>1310</v>
      </c>
      <c r="H91" s="381">
        <v>2</v>
      </c>
      <c r="I91" s="381">
        <v>15</v>
      </c>
      <c r="J91" s="381">
        <f t="shared" si="6"/>
        <v>2</v>
      </c>
      <c r="K91" s="633">
        <f t="shared" si="7"/>
        <v>30</v>
      </c>
      <c r="L91" s="634">
        <f>IFERROR(IF(B91="funkcna poziadavka",VLOOKUP(G91,MODULY_CBA!$B$3:$E$23,4,0)*H91/SUMIFS($H$3:$H$197,$G$3:$G$197,G91,$B$3:$B$197,B91),),)</f>
        <v>0</v>
      </c>
      <c r="M91" s="633">
        <f>IFERROR(IF(B91="Funkcna poziadavka",VLOOKUP(G91,MODULY_CBA!$B$3:$E$23,3,0),),)</f>
        <v>0.99499999999999988</v>
      </c>
      <c r="N91" s="633">
        <f>IFERROR(IF(B91="funkcna poziadavka",VLOOKUP(G91,MODULY_CBA!$B$3:$E$23,2,0),),)</f>
        <v>0.99</v>
      </c>
      <c r="O91" s="634">
        <f t="shared" si="8"/>
        <v>29.551499999999997</v>
      </c>
      <c r="P91" s="635">
        <f>IFERROR(O91*VLOOKUP(G91,MODULY_CBA!$B$3:$F$23,5,0),)</f>
        <v>886.54499999999996</v>
      </c>
      <c r="Q91" s="471" t="str">
        <f>IFERROR(VLOOKUP(G91,MODULY_CBA!$B$3:$I$23,6,0),"")</f>
        <v>Inkrement 2</v>
      </c>
      <c r="R91" s="385"/>
      <c r="S91" s="385"/>
      <c r="T91" s="385"/>
      <c r="U91" s="385"/>
      <c r="V91" s="388"/>
      <c r="W91" s="378"/>
      <c r="X91" s="378"/>
      <c r="Y91" s="385"/>
      <c r="Z91" s="385"/>
      <c r="AA91" s="385"/>
      <c r="AB91" s="385"/>
      <c r="AC91" s="385"/>
      <c r="AD91" s="385"/>
      <c r="AE91" s="385"/>
      <c r="AF91" s="390"/>
      <c r="AG91" s="389"/>
    </row>
    <row r="92" spans="1:33" s="387" customFormat="1" ht="38.25">
      <c r="A92" s="393" t="s">
        <v>887</v>
      </c>
      <c r="B92" s="393" t="s">
        <v>739</v>
      </c>
      <c r="C92" s="524" t="s">
        <v>795</v>
      </c>
      <c r="D92" s="386" t="s">
        <v>1110</v>
      </c>
      <c r="E92" s="525" t="s">
        <v>1227</v>
      </c>
      <c r="F92" s="386" t="s">
        <v>797</v>
      </c>
      <c r="G92" s="386" t="s">
        <v>1310</v>
      </c>
      <c r="H92" s="381">
        <v>2</v>
      </c>
      <c r="I92" s="381">
        <v>15</v>
      </c>
      <c r="J92" s="381">
        <f t="shared" si="6"/>
        <v>2</v>
      </c>
      <c r="K92" s="633">
        <f t="shared" si="7"/>
        <v>30</v>
      </c>
      <c r="L92" s="634">
        <f>IFERROR(IF(B92="funkcna poziadavka",VLOOKUP(G92,MODULY_CBA!$B$3:$E$23,4,0)*H92/SUMIFS($H$3:$H$197,$G$3:$G$197,G92,$B$3:$B$197,B92),),)</f>
        <v>0</v>
      </c>
      <c r="M92" s="633">
        <f>IFERROR(IF(B92="Funkcna poziadavka",VLOOKUP(G92,MODULY_CBA!$B$3:$E$23,3,0),),)</f>
        <v>0.99499999999999988</v>
      </c>
      <c r="N92" s="633">
        <f>IFERROR(IF(B92="funkcna poziadavka",VLOOKUP(G92,MODULY_CBA!$B$3:$E$23,2,0),),)</f>
        <v>0.99</v>
      </c>
      <c r="O92" s="634">
        <f t="shared" si="8"/>
        <v>29.551499999999997</v>
      </c>
      <c r="P92" s="635">
        <f>IFERROR(O92*VLOOKUP(G92,MODULY_CBA!$B$3:$F$23,5,0),)</f>
        <v>886.54499999999996</v>
      </c>
      <c r="Q92" s="471" t="str">
        <f>IFERROR(VLOOKUP(G92,MODULY_CBA!$B$3:$I$23,6,0),"")</f>
        <v>Inkrement 2</v>
      </c>
      <c r="R92" s="385"/>
      <c r="S92" s="385"/>
      <c r="T92" s="385"/>
      <c r="U92" s="385"/>
      <c r="V92" s="388"/>
      <c r="W92" s="378"/>
      <c r="X92" s="378"/>
      <c r="Y92" s="385"/>
      <c r="Z92" s="385"/>
      <c r="AA92" s="385"/>
      <c r="AB92" s="385"/>
      <c r="AC92" s="385"/>
      <c r="AD92" s="385"/>
      <c r="AE92" s="385"/>
      <c r="AF92" s="390"/>
      <c r="AG92" s="389"/>
    </row>
    <row r="93" spans="1:33" s="387" customFormat="1" ht="38.25">
      <c r="A93" s="393" t="s">
        <v>888</v>
      </c>
      <c r="B93" s="393" t="s">
        <v>739</v>
      </c>
      <c r="C93" s="524" t="s">
        <v>795</v>
      </c>
      <c r="D93" s="386" t="s">
        <v>1111</v>
      </c>
      <c r="E93" s="525" t="s">
        <v>1228</v>
      </c>
      <c r="F93" s="386" t="s">
        <v>797</v>
      </c>
      <c r="G93" s="386" t="s">
        <v>1310</v>
      </c>
      <c r="H93" s="381">
        <v>2</v>
      </c>
      <c r="I93" s="381">
        <v>15</v>
      </c>
      <c r="J93" s="381">
        <f t="shared" si="6"/>
        <v>2</v>
      </c>
      <c r="K93" s="633">
        <f t="shared" si="7"/>
        <v>30</v>
      </c>
      <c r="L93" s="634">
        <f>IFERROR(IF(B93="funkcna poziadavka",VLOOKUP(G93,MODULY_CBA!$B$3:$E$23,4,0)*H93/SUMIFS($H$3:$H$197,$G$3:$G$197,G93,$B$3:$B$197,B93),),)</f>
        <v>0</v>
      </c>
      <c r="M93" s="633">
        <f>IFERROR(IF(B93="Funkcna poziadavka",VLOOKUP(G93,MODULY_CBA!$B$3:$E$23,3,0),),)</f>
        <v>0.99499999999999988</v>
      </c>
      <c r="N93" s="633">
        <f>IFERROR(IF(B93="funkcna poziadavka",VLOOKUP(G93,MODULY_CBA!$B$3:$E$23,2,0),),)</f>
        <v>0.99</v>
      </c>
      <c r="O93" s="634">
        <f t="shared" si="8"/>
        <v>29.551499999999997</v>
      </c>
      <c r="P93" s="635">
        <f>IFERROR(O93*VLOOKUP(G93,MODULY_CBA!$B$3:$F$23,5,0),)</f>
        <v>886.54499999999996</v>
      </c>
      <c r="Q93" s="471" t="str">
        <f>IFERROR(VLOOKUP(G93,MODULY_CBA!$B$3:$I$23,6,0),"")</f>
        <v>Inkrement 2</v>
      </c>
      <c r="R93" s="385"/>
      <c r="S93" s="385"/>
      <c r="T93" s="385"/>
      <c r="U93" s="385"/>
      <c r="V93" s="388"/>
      <c r="W93" s="378"/>
      <c r="X93" s="378"/>
      <c r="Y93" s="385"/>
      <c r="Z93" s="385"/>
      <c r="AA93" s="385"/>
      <c r="AB93" s="385"/>
      <c r="AC93" s="385"/>
      <c r="AD93" s="385"/>
      <c r="AE93" s="385"/>
      <c r="AF93" s="390"/>
      <c r="AG93" s="389"/>
    </row>
    <row r="94" spans="1:33" s="387" customFormat="1" ht="38.25">
      <c r="A94" s="393" t="s">
        <v>889</v>
      </c>
      <c r="B94" s="393" t="s">
        <v>739</v>
      </c>
      <c r="C94" s="524" t="s">
        <v>795</v>
      </c>
      <c r="D94" s="386" t="s">
        <v>1112</v>
      </c>
      <c r="E94" s="525" t="s">
        <v>1229</v>
      </c>
      <c r="F94" s="386" t="s">
        <v>797</v>
      </c>
      <c r="G94" s="386" t="s">
        <v>1310</v>
      </c>
      <c r="H94" s="381">
        <v>2</v>
      </c>
      <c r="I94" s="381">
        <v>15</v>
      </c>
      <c r="J94" s="381">
        <f t="shared" si="6"/>
        <v>2</v>
      </c>
      <c r="K94" s="633">
        <f t="shared" si="7"/>
        <v>30</v>
      </c>
      <c r="L94" s="634">
        <f>IFERROR(IF(B94="funkcna poziadavka",VLOOKUP(G94,MODULY_CBA!$B$3:$E$23,4,0)*H94/SUMIFS($H$3:$H$197,$G$3:$G$197,G94,$B$3:$B$197,B94),),)</f>
        <v>0</v>
      </c>
      <c r="M94" s="633">
        <f>IFERROR(IF(B94="Funkcna poziadavka",VLOOKUP(G94,MODULY_CBA!$B$3:$E$23,3,0),),)</f>
        <v>0.99499999999999988</v>
      </c>
      <c r="N94" s="633">
        <f>IFERROR(IF(B94="funkcna poziadavka",VLOOKUP(G94,MODULY_CBA!$B$3:$E$23,2,0),),)</f>
        <v>0.99</v>
      </c>
      <c r="O94" s="634">
        <f t="shared" si="8"/>
        <v>29.551499999999997</v>
      </c>
      <c r="P94" s="635">
        <f>IFERROR(O94*VLOOKUP(G94,MODULY_CBA!$B$3:$F$23,5,0),)</f>
        <v>886.54499999999996</v>
      </c>
      <c r="Q94" s="471" t="str">
        <f>IFERROR(VLOOKUP(G94,MODULY_CBA!$B$3:$I$23,6,0),"")</f>
        <v>Inkrement 2</v>
      </c>
      <c r="R94" s="385"/>
      <c r="S94" s="385"/>
      <c r="T94" s="385"/>
      <c r="U94" s="385"/>
      <c r="V94" s="388"/>
      <c r="W94" s="378"/>
      <c r="X94" s="378"/>
      <c r="Y94" s="385"/>
      <c r="Z94" s="385"/>
      <c r="AA94" s="385"/>
      <c r="AB94" s="385"/>
      <c r="AC94" s="385"/>
      <c r="AD94" s="385"/>
      <c r="AE94" s="385"/>
      <c r="AF94" s="390"/>
      <c r="AG94" s="389"/>
    </row>
    <row r="95" spans="1:33" s="387" customFormat="1" ht="38.25">
      <c r="A95" s="393" t="s">
        <v>890</v>
      </c>
      <c r="B95" s="393" t="s">
        <v>739</v>
      </c>
      <c r="C95" s="524" t="s">
        <v>795</v>
      </c>
      <c r="D95" s="386" t="s">
        <v>1113</v>
      </c>
      <c r="E95" s="525" t="s">
        <v>1230</v>
      </c>
      <c r="F95" s="386" t="s">
        <v>797</v>
      </c>
      <c r="G95" s="386" t="s">
        <v>1310</v>
      </c>
      <c r="H95" s="381">
        <v>2</v>
      </c>
      <c r="I95" s="381">
        <v>15</v>
      </c>
      <c r="J95" s="381">
        <f t="shared" si="6"/>
        <v>2</v>
      </c>
      <c r="K95" s="633">
        <f t="shared" si="7"/>
        <v>30</v>
      </c>
      <c r="L95" s="634">
        <f>IFERROR(IF(B95="funkcna poziadavka",VLOOKUP(G95,MODULY_CBA!$B$3:$E$23,4,0)*H95/SUMIFS($H$3:$H$197,$G$3:$G$197,G95,$B$3:$B$197,B95),),)</f>
        <v>0</v>
      </c>
      <c r="M95" s="633">
        <f>IFERROR(IF(B95="Funkcna poziadavka",VLOOKUP(G95,MODULY_CBA!$B$3:$E$23,3,0),),)</f>
        <v>0.99499999999999988</v>
      </c>
      <c r="N95" s="633">
        <f>IFERROR(IF(B95="funkcna poziadavka",VLOOKUP(G95,MODULY_CBA!$B$3:$E$23,2,0),),)</f>
        <v>0.99</v>
      </c>
      <c r="O95" s="634">
        <f t="shared" si="8"/>
        <v>29.551499999999997</v>
      </c>
      <c r="P95" s="635">
        <f>IFERROR(O95*VLOOKUP(G95,MODULY_CBA!$B$3:$F$23,5,0),)</f>
        <v>886.54499999999996</v>
      </c>
      <c r="Q95" s="471" t="str">
        <f>IFERROR(VLOOKUP(G95,MODULY_CBA!$B$3:$I$23,6,0),"")</f>
        <v>Inkrement 2</v>
      </c>
      <c r="R95" s="385"/>
      <c r="S95" s="385"/>
      <c r="T95" s="385"/>
      <c r="U95" s="385"/>
      <c r="V95" s="388"/>
      <c r="W95" s="378"/>
      <c r="X95" s="378"/>
      <c r="Y95" s="385"/>
      <c r="Z95" s="385"/>
      <c r="AA95" s="385"/>
      <c r="AB95" s="385"/>
      <c r="AC95" s="385"/>
      <c r="AD95" s="385"/>
      <c r="AE95" s="385"/>
      <c r="AF95" s="390"/>
      <c r="AG95" s="389"/>
    </row>
    <row r="96" spans="1:33" s="387" customFormat="1" ht="38.25">
      <c r="A96" s="393" t="s">
        <v>891</v>
      </c>
      <c r="B96" s="393" t="s">
        <v>739</v>
      </c>
      <c r="C96" s="524" t="s">
        <v>795</v>
      </c>
      <c r="D96" s="386" t="s">
        <v>1114</v>
      </c>
      <c r="E96" s="525" t="s">
        <v>1231</v>
      </c>
      <c r="F96" s="386" t="s">
        <v>797</v>
      </c>
      <c r="G96" s="386" t="s">
        <v>1310</v>
      </c>
      <c r="H96" s="381">
        <v>2</v>
      </c>
      <c r="I96" s="381">
        <v>15</v>
      </c>
      <c r="J96" s="381">
        <f t="shared" si="6"/>
        <v>2</v>
      </c>
      <c r="K96" s="633">
        <f t="shared" si="7"/>
        <v>30</v>
      </c>
      <c r="L96" s="634">
        <f>IFERROR(IF(B96="funkcna poziadavka",VLOOKUP(G96,MODULY_CBA!$B$3:$E$23,4,0)*H96/SUMIFS($H$3:$H$197,$G$3:$G$197,G96,$B$3:$B$197,B96),),)</f>
        <v>0</v>
      </c>
      <c r="M96" s="633">
        <f>IFERROR(IF(B96="Funkcna poziadavka",VLOOKUP(G96,MODULY_CBA!$B$3:$E$23,3,0),),)</f>
        <v>0.99499999999999988</v>
      </c>
      <c r="N96" s="633">
        <f>IFERROR(IF(B96="funkcna poziadavka",VLOOKUP(G96,MODULY_CBA!$B$3:$E$23,2,0),),)</f>
        <v>0.99</v>
      </c>
      <c r="O96" s="634">
        <f t="shared" si="8"/>
        <v>29.551499999999997</v>
      </c>
      <c r="P96" s="635">
        <f>IFERROR(O96*VLOOKUP(G96,MODULY_CBA!$B$3:$F$23,5,0),)</f>
        <v>886.54499999999996</v>
      </c>
      <c r="Q96" s="471" t="str">
        <f>IFERROR(VLOOKUP(G96,MODULY_CBA!$B$3:$I$23,6,0),"")</f>
        <v>Inkrement 2</v>
      </c>
      <c r="R96" s="385"/>
      <c r="S96" s="385"/>
      <c r="T96" s="385"/>
      <c r="U96" s="385"/>
      <c r="V96" s="388"/>
      <c r="W96" s="378"/>
      <c r="X96" s="378"/>
      <c r="Y96" s="385"/>
      <c r="Z96" s="385"/>
      <c r="AA96" s="385"/>
      <c r="AB96" s="385"/>
      <c r="AC96" s="385"/>
      <c r="AD96" s="385"/>
      <c r="AE96" s="385"/>
      <c r="AF96" s="390"/>
      <c r="AG96" s="389"/>
    </row>
    <row r="97" spans="1:33" s="387" customFormat="1" ht="38.25">
      <c r="A97" s="393" t="s">
        <v>892</v>
      </c>
      <c r="B97" s="393" t="s">
        <v>739</v>
      </c>
      <c r="C97" s="524" t="s">
        <v>795</v>
      </c>
      <c r="D97" s="386" t="s">
        <v>1115</v>
      </c>
      <c r="E97" s="525" t="s">
        <v>1232</v>
      </c>
      <c r="F97" s="386" t="s">
        <v>797</v>
      </c>
      <c r="G97" s="386" t="s">
        <v>1310</v>
      </c>
      <c r="H97" s="381">
        <v>2</v>
      </c>
      <c r="I97" s="381">
        <v>15</v>
      </c>
      <c r="J97" s="381">
        <f t="shared" si="6"/>
        <v>2</v>
      </c>
      <c r="K97" s="633">
        <f t="shared" si="7"/>
        <v>30</v>
      </c>
      <c r="L97" s="634">
        <f>IFERROR(IF(B97="funkcna poziadavka",VLOOKUP(G97,MODULY_CBA!$B$3:$E$23,4,0)*H97/SUMIFS($H$3:$H$197,$G$3:$G$197,G97,$B$3:$B$197,B97),),)</f>
        <v>0</v>
      </c>
      <c r="M97" s="633">
        <f>IFERROR(IF(B97="Funkcna poziadavka",VLOOKUP(G97,MODULY_CBA!$B$3:$E$23,3,0),),)</f>
        <v>0.99499999999999988</v>
      </c>
      <c r="N97" s="633">
        <f>IFERROR(IF(B97="funkcna poziadavka",VLOOKUP(G97,MODULY_CBA!$B$3:$E$23,2,0),),)</f>
        <v>0.99</v>
      </c>
      <c r="O97" s="634">
        <f t="shared" si="8"/>
        <v>29.551499999999997</v>
      </c>
      <c r="P97" s="635">
        <f>IFERROR(O97*VLOOKUP(G97,MODULY_CBA!$B$3:$F$23,5,0),)</f>
        <v>886.54499999999996</v>
      </c>
      <c r="Q97" s="471" t="str">
        <f>IFERROR(VLOOKUP(G97,MODULY_CBA!$B$3:$I$23,6,0),"")</f>
        <v>Inkrement 2</v>
      </c>
      <c r="R97" s="385"/>
      <c r="S97" s="385"/>
      <c r="T97" s="385"/>
      <c r="U97" s="385"/>
      <c r="V97" s="388"/>
      <c r="W97" s="378"/>
      <c r="X97" s="378"/>
      <c r="Y97" s="385"/>
      <c r="Z97" s="385"/>
      <c r="AA97" s="385"/>
      <c r="AB97" s="385"/>
      <c r="AC97" s="385"/>
      <c r="AD97" s="385"/>
      <c r="AE97" s="385"/>
      <c r="AF97" s="390"/>
      <c r="AG97" s="389"/>
    </row>
    <row r="98" spans="1:33" s="387" customFormat="1" ht="51">
      <c r="A98" s="393" t="s">
        <v>893</v>
      </c>
      <c r="B98" s="393" t="s">
        <v>739</v>
      </c>
      <c r="C98" s="524" t="s">
        <v>794</v>
      </c>
      <c r="D98" s="386" t="s">
        <v>1116</v>
      </c>
      <c r="E98" s="525" t="s">
        <v>1233</v>
      </c>
      <c r="F98" s="386" t="s">
        <v>797</v>
      </c>
      <c r="G98" s="386" t="s">
        <v>1310</v>
      </c>
      <c r="H98" s="381">
        <v>2</v>
      </c>
      <c r="I98" s="381">
        <v>15</v>
      </c>
      <c r="J98" s="381">
        <f t="shared" si="6"/>
        <v>2</v>
      </c>
      <c r="K98" s="633">
        <f t="shared" si="7"/>
        <v>30</v>
      </c>
      <c r="L98" s="634">
        <f>IFERROR(IF(B98="funkcna poziadavka",VLOOKUP(G98,MODULY_CBA!$B$3:$E$23,4,0)*H98/SUMIFS($H$3:$H$197,$G$3:$G$197,G98,$B$3:$B$197,B98),),)</f>
        <v>0</v>
      </c>
      <c r="M98" s="633">
        <f>IFERROR(IF(B98="Funkcna poziadavka",VLOOKUP(G98,MODULY_CBA!$B$3:$E$23,3,0),),)</f>
        <v>0.99499999999999988</v>
      </c>
      <c r="N98" s="633">
        <f>IFERROR(IF(B98="funkcna poziadavka",VLOOKUP(G98,MODULY_CBA!$B$3:$E$23,2,0),),)</f>
        <v>0.99</v>
      </c>
      <c r="O98" s="634">
        <f t="shared" si="8"/>
        <v>29.551499999999997</v>
      </c>
      <c r="P98" s="635">
        <f>IFERROR(O98*VLOOKUP(G98,MODULY_CBA!$B$3:$F$23,5,0),)</f>
        <v>886.54499999999996</v>
      </c>
      <c r="Q98" s="471" t="str">
        <f>IFERROR(VLOOKUP(G98,MODULY_CBA!$B$3:$I$23,6,0),"")</f>
        <v>Inkrement 2</v>
      </c>
      <c r="R98" s="385"/>
      <c r="S98" s="385"/>
      <c r="T98" s="385"/>
      <c r="U98" s="385"/>
      <c r="V98" s="388"/>
      <c r="W98" s="378"/>
      <c r="X98" s="378"/>
      <c r="Y98" s="385"/>
      <c r="Z98" s="385"/>
      <c r="AA98" s="385"/>
      <c r="AB98" s="385"/>
      <c r="AC98" s="385"/>
      <c r="AD98" s="385"/>
      <c r="AE98" s="385"/>
      <c r="AF98" s="390"/>
      <c r="AG98" s="389"/>
    </row>
    <row r="99" spans="1:33" s="387" customFormat="1" ht="38.25">
      <c r="A99" s="393" t="s">
        <v>894</v>
      </c>
      <c r="B99" s="393" t="s">
        <v>739</v>
      </c>
      <c r="C99" s="524" t="s">
        <v>794</v>
      </c>
      <c r="D99" s="386" t="s">
        <v>1117</v>
      </c>
      <c r="E99" s="525" t="s">
        <v>1234</v>
      </c>
      <c r="F99" s="386" t="s">
        <v>797</v>
      </c>
      <c r="G99" s="386" t="s">
        <v>1311</v>
      </c>
      <c r="H99" s="381">
        <v>2</v>
      </c>
      <c r="I99" s="381">
        <v>10</v>
      </c>
      <c r="J99" s="381">
        <f t="shared" si="6"/>
        <v>2</v>
      </c>
      <c r="K99" s="633">
        <f t="shared" si="7"/>
        <v>20</v>
      </c>
      <c r="L99" s="634">
        <f>IFERROR(IF(B99="funkcna poziadavka",VLOOKUP(G99,MODULY_CBA!$B$3:$E$23,4,0)*H99/SUMIFS($H$3:$H$197,$G$3:$G$197,G99,$B$3:$B$197,B99),),)</f>
        <v>0</v>
      </c>
      <c r="M99" s="633">
        <f>IFERROR(IF(B99="Funkcna poziadavka",VLOOKUP(G99,MODULY_CBA!$B$3:$E$23,3,0),),)</f>
        <v>0.99499999999999988</v>
      </c>
      <c r="N99" s="633">
        <f>IFERROR(IF(B99="funkcna poziadavka",VLOOKUP(G99,MODULY_CBA!$B$3:$E$23,2,0),),)</f>
        <v>0.99</v>
      </c>
      <c r="O99" s="634">
        <f t="shared" si="8"/>
        <v>19.700999999999997</v>
      </c>
      <c r="P99" s="635">
        <f>IFERROR(O99*VLOOKUP(G99,MODULY_CBA!$B$3:$F$23,5,0),)</f>
        <v>591.02999999999986</v>
      </c>
      <c r="Q99" s="471" t="str">
        <f>IFERROR(VLOOKUP(G99,MODULY_CBA!$B$3:$I$23,6,0),"")</f>
        <v>Inkrement 2</v>
      </c>
      <c r="R99" s="385"/>
      <c r="S99" s="385"/>
      <c r="T99" s="385"/>
      <c r="U99" s="385"/>
      <c r="V99" s="388"/>
      <c r="W99" s="378"/>
      <c r="X99" s="378"/>
      <c r="Y99" s="385"/>
      <c r="Z99" s="385"/>
      <c r="AA99" s="385"/>
      <c r="AB99" s="385"/>
      <c r="AC99" s="385"/>
      <c r="AD99" s="385"/>
      <c r="AE99" s="385"/>
      <c r="AF99" s="390"/>
      <c r="AG99" s="389"/>
    </row>
    <row r="100" spans="1:33" s="387" customFormat="1" ht="38.25">
      <c r="A100" s="393" t="s">
        <v>895</v>
      </c>
      <c r="B100" s="393" t="s">
        <v>739</v>
      </c>
      <c r="C100" s="524" t="s">
        <v>794</v>
      </c>
      <c r="D100" s="386" t="s">
        <v>1118</v>
      </c>
      <c r="E100" s="525" t="s">
        <v>1235</v>
      </c>
      <c r="F100" s="386" t="s">
        <v>797</v>
      </c>
      <c r="G100" s="386" t="s">
        <v>1311</v>
      </c>
      <c r="H100" s="381">
        <v>2</v>
      </c>
      <c r="I100" s="381">
        <v>10</v>
      </c>
      <c r="J100" s="381">
        <f t="shared" si="6"/>
        <v>2</v>
      </c>
      <c r="K100" s="633">
        <f t="shared" si="7"/>
        <v>20</v>
      </c>
      <c r="L100" s="634">
        <f>IFERROR(IF(B100="funkcna poziadavka",VLOOKUP(G100,MODULY_CBA!$B$3:$E$23,4,0)*H100/SUMIFS($H$3:$H$197,$G$3:$G$197,G100,$B$3:$B$197,B100),),)</f>
        <v>0</v>
      </c>
      <c r="M100" s="633">
        <f>IFERROR(IF(B100="Funkcna poziadavka",VLOOKUP(G100,MODULY_CBA!$B$3:$E$23,3,0),),)</f>
        <v>0.99499999999999988</v>
      </c>
      <c r="N100" s="633">
        <f>IFERROR(IF(B100="funkcna poziadavka",VLOOKUP(G100,MODULY_CBA!$B$3:$E$23,2,0),),)</f>
        <v>0.99</v>
      </c>
      <c r="O100" s="634">
        <f t="shared" si="8"/>
        <v>19.700999999999997</v>
      </c>
      <c r="P100" s="635">
        <f>IFERROR(O100*VLOOKUP(G100,MODULY_CBA!$B$3:$F$23,5,0),)</f>
        <v>591.02999999999986</v>
      </c>
      <c r="Q100" s="471" t="str">
        <f>IFERROR(VLOOKUP(G100,MODULY_CBA!$B$3:$I$23,6,0),"")</f>
        <v>Inkrement 2</v>
      </c>
      <c r="R100" s="385"/>
      <c r="S100" s="385"/>
      <c r="T100" s="385"/>
      <c r="U100" s="385"/>
      <c r="V100" s="388"/>
      <c r="W100" s="378"/>
      <c r="X100" s="378"/>
      <c r="Y100" s="385"/>
      <c r="Z100" s="385"/>
      <c r="AA100" s="385"/>
      <c r="AB100" s="385"/>
      <c r="AC100" s="385"/>
      <c r="AD100" s="385"/>
      <c r="AE100" s="385"/>
      <c r="AF100" s="390"/>
      <c r="AG100" s="389"/>
    </row>
    <row r="101" spans="1:33" s="387" customFormat="1" ht="38.25">
      <c r="A101" s="393" t="s">
        <v>896</v>
      </c>
      <c r="B101" s="393" t="s">
        <v>739</v>
      </c>
      <c r="C101" s="524" t="s">
        <v>794</v>
      </c>
      <c r="D101" s="386" t="s">
        <v>1119</v>
      </c>
      <c r="E101" s="525" t="s">
        <v>1236</v>
      </c>
      <c r="F101" s="386" t="s">
        <v>797</v>
      </c>
      <c r="G101" s="386" t="s">
        <v>1311</v>
      </c>
      <c r="H101" s="381">
        <v>2</v>
      </c>
      <c r="I101" s="381">
        <v>10</v>
      </c>
      <c r="J101" s="381">
        <f t="shared" si="6"/>
        <v>2</v>
      </c>
      <c r="K101" s="633">
        <f t="shared" si="7"/>
        <v>20</v>
      </c>
      <c r="L101" s="634">
        <f>IFERROR(IF(B101="funkcna poziadavka",VLOOKUP(G101,MODULY_CBA!$B$3:$E$23,4,0)*H101/SUMIFS($H$3:$H$197,$G$3:$G$197,G101,$B$3:$B$197,B101),),)</f>
        <v>0</v>
      </c>
      <c r="M101" s="633">
        <f>IFERROR(IF(B101="Funkcna poziadavka",VLOOKUP(G101,MODULY_CBA!$B$3:$E$23,3,0),),)</f>
        <v>0.99499999999999988</v>
      </c>
      <c r="N101" s="633">
        <f>IFERROR(IF(B101="funkcna poziadavka",VLOOKUP(G101,MODULY_CBA!$B$3:$E$23,2,0),),)</f>
        <v>0.99</v>
      </c>
      <c r="O101" s="634">
        <f t="shared" si="8"/>
        <v>19.700999999999997</v>
      </c>
      <c r="P101" s="635">
        <f>IFERROR(O101*VLOOKUP(G101,MODULY_CBA!$B$3:$F$23,5,0),)</f>
        <v>591.02999999999986</v>
      </c>
      <c r="Q101" s="471" t="str">
        <f>IFERROR(VLOOKUP(G101,MODULY_CBA!$B$3:$I$23,6,0),"")</f>
        <v>Inkrement 2</v>
      </c>
      <c r="R101" s="385"/>
      <c r="S101" s="385"/>
      <c r="T101" s="385"/>
      <c r="U101" s="385"/>
      <c r="V101" s="388"/>
      <c r="W101" s="378"/>
      <c r="X101" s="378"/>
      <c r="Y101" s="385"/>
      <c r="Z101" s="385"/>
      <c r="AA101" s="385"/>
      <c r="AB101" s="385"/>
      <c r="AC101" s="385"/>
      <c r="AD101" s="385"/>
      <c r="AE101" s="385"/>
      <c r="AF101" s="390"/>
      <c r="AG101" s="389"/>
    </row>
    <row r="102" spans="1:33" s="387" customFormat="1" ht="38.25">
      <c r="A102" s="393" t="s">
        <v>897</v>
      </c>
      <c r="B102" s="393" t="s">
        <v>739</v>
      </c>
      <c r="C102" s="524" t="s">
        <v>794</v>
      </c>
      <c r="D102" s="386" t="s">
        <v>1120</v>
      </c>
      <c r="E102" s="525" t="s">
        <v>1237</v>
      </c>
      <c r="F102" s="386" t="s">
        <v>797</v>
      </c>
      <c r="G102" s="386" t="s">
        <v>1311</v>
      </c>
      <c r="H102" s="381">
        <v>2</v>
      </c>
      <c r="I102" s="381">
        <v>10</v>
      </c>
      <c r="J102" s="381">
        <f t="shared" si="6"/>
        <v>2</v>
      </c>
      <c r="K102" s="633">
        <f t="shared" si="7"/>
        <v>20</v>
      </c>
      <c r="L102" s="634">
        <f>IFERROR(IF(B102="funkcna poziadavka",VLOOKUP(G102,MODULY_CBA!$B$3:$E$23,4,0)*H102/SUMIFS($H$3:$H$197,$G$3:$G$197,G102,$B$3:$B$197,B102),),)</f>
        <v>0</v>
      </c>
      <c r="M102" s="633">
        <f>IFERROR(IF(B102="Funkcna poziadavka",VLOOKUP(G102,MODULY_CBA!$B$3:$E$23,3,0),),)</f>
        <v>0.99499999999999988</v>
      </c>
      <c r="N102" s="633">
        <f>IFERROR(IF(B102="funkcna poziadavka",VLOOKUP(G102,MODULY_CBA!$B$3:$E$23,2,0),),)</f>
        <v>0.99</v>
      </c>
      <c r="O102" s="634">
        <f t="shared" si="8"/>
        <v>19.700999999999997</v>
      </c>
      <c r="P102" s="635">
        <f>IFERROR(O102*VLOOKUP(G102,MODULY_CBA!$B$3:$F$23,5,0),)</f>
        <v>591.02999999999986</v>
      </c>
      <c r="Q102" s="471" t="str">
        <f>IFERROR(VLOOKUP(G102,MODULY_CBA!$B$3:$I$23,6,0),"")</f>
        <v>Inkrement 2</v>
      </c>
      <c r="R102" s="385"/>
      <c r="S102" s="385"/>
      <c r="T102" s="385"/>
      <c r="U102" s="385"/>
      <c r="V102" s="388"/>
      <c r="W102" s="378"/>
      <c r="X102" s="378"/>
      <c r="Y102" s="385"/>
      <c r="Z102" s="385"/>
      <c r="AA102" s="385"/>
      <c r="AB102" s="385"/>
      <c r="AC102" s="385"/>
      <c r="AD102" s="385"/>
      <c r="AE102" s="385"/>
      <c r="AF102" s="390"/>
      <c r="AG102" s="389"/>
    </row>
    <row r="103" spans="1:33" s="387" customFormat="1" ht="38.25">
      <c r="A103" s="393" t="s">
        <v>985</v>
      </c>
      <c r="B103" s="393" t="s">
        <v>739</v>
      </c>
      <c r="C103" s="524" t="s">
        <v>794</v>
      </c>
      <c r="D103" s="386" t="s">
        <v>1121</v>
      </c>
      <c r="E103" s="525" t="s">
        <v>1238</v>
      </c>
      <c r="F103" s="386" t="s">
        <v>797</v>
      </c>
      <c r="G103" s="386" t="s">
        <v>1311</v>
      </c>
      <c r="H103" s="381">
        <v>2</v>
      </c>
      <c r="I103" s="381">
        <v>10</v>
      </c>
      <c r="J103" s="381">
        <f t="shared" ref="J103:J146" si="9">IF(ISNUMBER(H103),H103,)</f>
        <v>2</v>
      </c>
      <c r="K103" s="633">
        <f t="shared" ref="K103:K146" si="10">H103*I103</f>
        <v>20</v>
      </c>
      <c r="L103" s="634">
        <f>IFERROR(IF(B103="funkcna poziadavka",VLOOKUP(G103,MODULY_CBA!$B$3:$E$23,4,0)*H103/SUMIFS($H$3:$H$197,$G$3:$G$197,G103,$B$3:$B$197,B103),),)</f>
        <v>0</v>
      </c>
      <c r="M103" s="633">
        <f>IFERROR(IF(B103="Funkcna poziadavka",VLOOKUP(G103,MODULY_CBA!$B$3:$E$23,3,0),),)</f>
        <v>0.99499999999999988</v>
      </c>
      <c r="N103" s="633">
        <f>IFERROR(IF(B103="funkcna poziadavka",VLOOKUP(G103,MODULY_CBA!$B$3:$E$23,2,0),),)</f>
        <v>0.99</v>
      </c>
      <c r="O103" s="634">
        <f t="shared" ref="O103:O146" si="11">(I103+L103)*M103*N103*H103</f>
        <v>19.700999999999997</v>
      </c>
      <c r="P103" s="635">
        <f>IFERROR(O103*VLOOKUP(G103,MODULY_CBA!$B$3:$F$23,5,0),)</f>
        <v>591.02999999999986</v>
      </c>
      <c r="Q103" s="471" t="str">
        <f>IFERROR(VLOOKUP(G103,MODULY_CBA!$B$3:$I$23,6,0),"")</f>
        <v>Inkrement 2</v>
      </c>
      <c r="R103" s="385"/>
      <c r="S103" s="385"/>
      <c r="T103" s="385"/>
      <c r="U103" s="385"/>
      <c r="V103" s="388"/>
      <c r="W103" s="378"/>
      <c r="X103" s="378"/>
      <c r="Y103" s="385"/>
      <c r="Z103" s="385"/>
      <c r="AA103" s="385"/>
      <c r="AB103" s="385"/>
      <c r="AC103" s="385"/>
      <c r="AD103" s="385"/>
      <c r="AE103" s="385"/>
      <c r="AF103" s="390"/>
      <c r="AG103" s="389"/>
    </row>
    <row r="104" spans="1:33" s="387" customFormat="1" ht="38.25">
      <c r="A104" s="393" t="s">
        <v>986</v>
      </c>
      <c r="B104" s="393" t="s">
        <v>739</v>
      </c>
      <c r="C104" s="524" t="s">
        <v>795</v>
      </c>
      <c r="D104" s="386" t="s">
        <v>1122</v>
      </c>
      <c r="E104" s="525" t="s">
        <v>1239</v>
      </c>
      <c r="F104" s="386" t="s">
        <v>797</v>
      </c>
      <c r="G104" s="386" t="s">
        <v>1311</v>
      </c>
      <c r="H104" s="381">
        <v>2</v>
      </c>
      <c r="I104" s="381">
        <v>10</v>
      </c>
      <c r="J104" s="381">
        <f t="shared" si="9"/>
        <v>2</v>
      </c>
      <c r="K104" s="633">
        <f t="shared" si="10"/>
        <v>20</v>
      </c>
      <c r="L104" s="634">
        <f>IFERROR(IF(B104="funkcna poziadavka",VLOOKUP(G104,MODULY_CBA!$B$3:$E$23,4,0)*H104/SUMIFS($H$3:$H$197,$G$3:$G$197,G104,$B$3:$B$197,B104),),)</f>
        <v>0</v>
      </c>
      <c r="M104" s="633">
        <f>IFERROR(IF(B104="Funkcna poziadavka",VLOOKUP(G104,MODULY_CBA!$B$3:$E$23,3,0),),)</f>
        <v>0.99499999999999988</v>
      </c>
      <c r="N104" s="633">
        <f>IFERROR(IF(B104="funkcna poziadavka",VLOOKUP(G104,MODULY_CBA!$B$3:$E$23,2,0),),)</f>
        <v>0.99</v>
      </c>
      <c r="O104" s="634">
        <f t="shared" si="11"/>
        <v>19.700999999999997</v>
      </c>
      <c r="P104" s="635">
        <f>IFERROR(O104*VLOOKUP(G104,MODULY_CBA!$B$3:$F$23,5,0),)</f>
        <v>591.02999999999986</v>
      </c>
      <c r="Q104" s="471" t="str">
        <f>IFERROR(VLOOKUP(G104,MODULY_CBA!$B$3:$I$23,6,0),"")</f>
        <v>Inkrement 2</v>
      </c>
      <c r="R104" s="385"/>
      <c r="S104" s="385"/>
      <c r="T104" s="385"/>
      <c r="U104" s="385"/>
      <c r="V104" s="388"/>
      <c r="W104" s="378"/>
      <c r="X104" s="378"/>
      <c r="Y104" s="385"/>
      <c r="Z104" s="385"/>
      <c r="AA104" s="385"/>
      <c r="AB104" s="385"/>
      <c r="AC104" s="385"/>
      <c r="AD104" s="385"/>
      <c r="AE104" s="385"/>
      <c r="AF104" s="390"/>
      <c r="AG104" s="389"/>
    </row>
    <row r="105" spans="1:33" s="387" customFormat="1" ht="38.25">
      <c r="A105" s="393" t="s">
        <v>987</v>
      </c>
      <c r="B105" s="393" t="s">
        <v>739</v>
      </c>
      <c r="C105" s="524" t="s">
        <v>795</v>
      </c>
      <c r="D105" s="386" t="s">
        <v>1123</v>
      </c>
      <c r="E105" s="525" t="s">
        <v>1240</v>
      </c>
      <c r="F105" s="386" t="s">
        <v>797</v>
      </c>
      <c r="G105" s="386" t="s">
        <v>1312</v>
      </c>
      <c r="H105" s="381">
        <v>2</v>
      </c>
      <c r="I105" s="381">
        <v>15</v>
      </c>
      <c r="J105" s="381">
        <f t="shared" si="9"/>
        <v>2</v>
      </c>
      <c r="K105" s="633">
        <f t="shared" si="10"/>
        <v>30</v>
      </c>
      <c r="L105" s="634">
        <f>IFERROR(IF(B105="funkcna poziadavka",VLOOKUP(G105,MODULY_CBA!$B$3:$E$23,4,0)*H105/SUMIFS($H$3:$H$197,$G$3:$G$197,G105,$B$3:$B$197,B105),),)</f>
        <v>0</v>
      </c>
      <c r="M105" s="633">
        <f>IFERROR(IF(B105="Funkcna poziadavka",VLOOKUP(G105,MODULY_CBA!$B$3:$E$23,3,0),),)</f>
        <v>0.99499999999999988</v>
      </c>
      <c r="N105" s="633">
        <f>IFERROR(IF(B105="funkcna poziadavka",VLOOKUP(G105,MODULY_CBA!$B$3:$E$23,2,0),),)</f>
        <v>0.99</v>
      </c>
      <c r="O105" s="634">
        <f t="shared" si="11"/>
        <v>29.551499999999997</v>
      </c>
      <c r="P105" s="635">
        <f>IFERROR(O105*VLOOKUP(G105,MODULY_CBA!$B$3:$F$23,5,0),)</f>
        <v>886.54499999999996</v>
      </c>
      <c r="Q105" s="471" t="str">
        <f>IFERROR(VLOOKUP(G105,MODULY_CBA!$B$3:$I$23,6,0),"")</f>
        <v>Inkrement 3</v>
      </c>
      <c r="R105" s="385"/>
      <c r="S105" s="385"/>
      <c r="T105" s="385"/>
      <c r="U105" s="385"/>
      <c r="V105" s="388"/>
      <c r="W105" s="378"/>
      <c r="X105" s="378"/>
      <c r="Y105" s="385"/>
      <c r="Z105" s="385"/>
      <c r="AA105" s="385"/>
      <c r="AB105" s="385"/>
      <c r="AC105" s="385"/>
      <c r="AD105" s="385"/>
      <c r="AE105" s="385"/>
      <c r="AF105" s="390"/>
      <c r="AG105" s="389"/>
    </row>
    <row r="106" spans="1:33" s="387" customFormat="1" ht="38.25">
      <c r="A106" s="393" t="s">
        <v>988</v>
      </c>
      <c r="B106" s="393" t="s">
        <v>739</v>
      </c>
      <c r="C106" s="524" t="s">
        <v>795</v>
      </c>
      <c r="D106" s="386" t="s">
        <v>1124</v>
      </c>
      <c r="E106" s="525" t="s">
        <v>1241</v>
      </c>
      <c r="F106" s="386" t="s">
        <v>797</v>
      </c>
      <c r="G106" s="386" t="s">
        <v>1312</v>
      </c>
      <c r="H106" s="381">
        <v>2</v>
      </c>
      <c r="I106" s="381">
        <v>15</v>
      </c>
      <c r="J106" s="381">
        <f t="shared" si="9"/>
        <v>2</v>
      </c>
      <c r="K106" s="633">
        <f t="shared" si="10"/>
        <v>30</v>
      </c>
      <c r="L106" s="634">
        <f>IFERROR(IF(B106="funkcna poziadavka",VLOOKUP(G106,MODULY_CBA!$B$3:$E$23,4,0)*H106/SUMIFS($H$3:$H$197,$G$3:$G$197,G106,$B$3:$B$197,B106),),)</f>
        <v>0</v>
      </c>
      <c r="M106" s="633">
        <f>IFERROR(IF(B106="Funkcna poziadavka",VLOOKUP(G106,MODULY_CBA!$B$3:$E$23,3,0),),)</f>
        <v>0.99499999999999988</v>
      </c>
      <c r="N106" s="633">
        <f>IFERROR(IF(B106="funkcna poziadavka",VLOOKUP(G106,MODULY_CBA!$B$3:$E$23,2,0),),)</f>
        <v>0.99</v>
      </c>
      <c r="O106" s="634">
        <f t="shared" si="11"/>
        <v>29.551499999999997</v>
      </c>
      <c r="P106" s="635">
        <f>IFERROR(O106*VLOOKUP(G106,MODULY_CBA!$B$3:$F$23,5,0),)</f>
        <v>886.54499999999996</v>
      </c>
      <c r="Q106" s="471" t="str">
        <f>IFERROR(VLOOKUP(G106,MODULY_CBA!$B$3:$I$23,6,0),"")</f>
        <v>Inkrement 3</v>
      </c>
      <c r="R106" s="385"/>
      <c r="S106" s="385"/>
      <c r="T106" s="385"/>
      <c r="U106" s="385"/>
      <c r="V106" s="388"/>
      <c r="W106" s="378"/>
      <c r="X106" s="378"/>
      <c r="Y106" s="385"/>
      <c r="Z106" s="385"/>
      <c r="AA106" s="385"/>
      <c r="AB106" s="385"/>
      <c r="AC106" s="385"/>
      <c r="AD106" s="385"/>
      <c r="AE106" s="385"/>
      <c r="AF106" s="390"/>
      <c r="AG106" s="389"/>
    </row>
    <row r="107" spans="1:33" s="387" customFormat="1" ht="38.25">
      <c r="A107" s="393" t="s">
        <v>989</v>
      </c>
      <c r="B107" s="393" t="s">
        <v>739</v>
      </c>
      <c r="C107" s="524" t="s">
        <v>795</v>
      </c>
      <c r="D107" s="386" t="s">
        <v>1125</v>
      </c>
      <c r="E107" s="525" t="s">
        <v>1242</v>
      </c>
      <c r="F107" s="386" t="s">
        <v>797</v>
      </c>
      <c r="G107" s="386" t="s">
        <v>1312</v>
      </c>
      <c r="H107" s="381">
        <v>2</v>
      </c>
      <c r="I107" s="381">
        <v>15</v>
      </c>
      <c r="J107" s="381">
        <f t="shared" si="9"/>
        <v>2</v>
      </c>
      <c r="K107" s="633">
        <f t="shared" si="10"/>
        <v>30</v>
      </c>
      <c r="L107" s="634">
        <f>IFERROR(IF(B107="funkcna poziadavka",VLOOKUP(G107,MODULY_CBA!$B$3:$E$23,4,0)*H107/SUMIFS($H$3:$H$197,$G$3:$G$197,G107,$B$3:$B$197,B107),),)</f>
        <v>0</v>
      </c>
      <c r="M107" s="633">
        <f>IFERROR(IF(B107="Funkcna poziadavka",VLOOKUP(G107,MODULY_CBA!$B$3:$E$23,3,0),),)</f>
        <v>0.99499999999999988</v>
      </c>
      <c r="N107" s="633">
        <f>IFERROR(IF(B107="funkcna poziadavka",VLOOKUP(G107,MODULY_CBA!$B$3:$E$23,2,0),),)</f>
        <v>0.99</v>
      </c>
      <c r="O107" s="634">
        <f t="shared" si="11"/>
        <v>29.551499999999997</v>
      </c>
      <c r="P107" s="635">
        <f>IFERROR(O107*VLOOKUP(G107,MODULY_CBA!$B$3:$F$23,5,0),)</f>
        <v>886.54499999999996</v>
      </c>
      <c r="Q107" s="471" t="str">
        <f>IFERROR(VLOOKUP(G107,MODULY_CBA!$B$3:$I$23,6,0),"")</f>
        <v>Inkrement 3</v>
      </c>
      <c r="R107" s="385"/>
      <c r="S107" s="385"/>
      <c r="T107" s="385"/>
      <c r="U107" s="385"/>
      <c r="V107" s="388"/>
      <c r="W107" s="378"/>
      <c r="X107" s="378"/>
      <c r="Y107" s="385"/>
      <c r="Z107" s="385"/>
      <c r="AA107" s="385"/>
      <c r="AB107" s="385"/>
      <c r="AC107" s="385"/>
      <c r="AD107" s="385"/>
      <c r="AE107" s="385"/>
      <c r="AF107" s="390"/>
      <c r="AG107" s="389"/>
    </row>
    <row r="108" spans="1:33" s="387" customFormat="1" ht="38.25">
      <c r="A108" s="393" t="s">
        <v>990</v>
      </c>
      <c r="B108" s="393" t="s">
        <v>739</v>
      </c>
      <c r="C108" s="524" t="s">
        <v>795</v>
      </c>
      <c r="D108" s="386" t="s">
        <v>1126</v>
      </c>
      <c r="E108" s="525" t="s">
        <v>1243</v>
      </c>
      <c r="F108" s="386" t="s">
        <v>797</v>
      </c>
      <c r="G108" s="386" t="s">
        <v>1312</v>
      </c>
      <c r="H108" s="381">
        <v>2</v>
      </c>
      <c r="I108" s="381">
        <v>15</v>
      </c>
      <c r="J108" s="381">
        <f t="shared" si="9"/>
        <v>2</v>
      </c>
      <c r="K108" s="633">
        <f t="shared" si="10"/>
        <v>30</v>
      </c>
      <c r="L108" s="634">
        <f>IFERROR(IF(B108="funkcna poziadavka",VLOOKUP(G108,MODULY_CBA!$B$3:$E$23,4,0)*H108/SUMIFS($H$3:$H$197,$G$3:$G$197,G108,$B$3:$B$197,B108),),)</f>
        <v>0</v>
      </c>
      <c r="M108" s="633">
        <f>IFERROR(IF(B108="Funkcna poziadavka",VLOOKUP(G108,MODULY_CBA!$B$3:$E$23,3,0),),)</f>
        <v>0.99499999999999988</v>
      </c>
      <c r="N108" s="633">
        <f>IFERROR(IF(B108="funkcna poziadavka",VLOOKUP(G108,MODULY_CBA!$B$3:$E$23,2,0),),)</f>
        <v>0.99</v>
      </c>
      <c r="O108" s="634">
        <f t="shared" si="11"/>
        <v>29.551499999999997</v>
      </c>
      <c r="P108" s="635">
        <f>IFERROR(O108*VLOOKUP(G108,MODULY_CBA!$B$3:$F$23,5,0),)</f>
        <v>886.54499999999996</v>
      </c>
      <c r="Q108" s="471" t="str">
        <f>IFERROR(VLOOKUP(G108,MODULY_CBA!$B$3:$I$23,6,0),"")</f>
        <v>Inkrement 3</v>
      </c>
      <c r="R108" s="385"/>
      <c r="S108" s="385"/>
      <c r="T108" s="385"/>
      <c r="U108" s="385"/>
      <c r="V108" s="388"/>
      <c r="W108" s="378"/>
      <c r="X108" s="378"/>
      <c r="Y108" s="385"/>
      <c r="Z108" s="385"/>
      <c r="AA108" s="385"/>
      <c r="AB108" s="385"/>
      <c r="AC108" s="385"/>
      <c r="AD108" s="385"/>
      <c r="AE108" s="385"/>
      <c r="AF108" s="390"/>
      <c r="AG108" s="389"/>
    </row>
    <row r="109" spans="1:33" s="387" customFormat="1" ht="38.25">
      <c r="A109" s="393" t="s">
        <v>991</v>
      </c>
      <c r="B109" s="393" t="s">
        <v>739</v>
      </c>
      <c r="C109" s="524" t="s">
        <v>795</v>
      </c>
      <c r="D109" s="386" t="s">
        <v>1127</v>
      </c>
      <c r="E109" s="525" t="s">
        <v>1244</v>
      </c>
      <c r="F109" s="386" t="s">
        <v>797</v>
      </c>
      <c r="G109" s="386" t="s">
        <v>1312</v>
      </c>
      <c r="H109" s="381">
        <v>2</v>
      </c>
      <c r="I109" s="381">
        <v>15</v>
      </c>
      <c r="J109" s="381">
        <f t="shared" si="9"/>
        <v>2</v>
      </c>
      <c r="K109" s="633">
        <f t="shared" si="10"/>
        <v>30</v>
      </c>
      <c r="L109" s="634">
        <f>IFERROR(IF(B109="funkcna poziadavka",VLOOKUP(G109,MODULY_CBA!$B$3:$E$23,4,0)*H109/SUMIFS($H$3:$H$197,$G$3:$G$197,G109,$B$3:$B$197,B109),),)</f>
        <v>0</v>
      </c>
      <c r="M109" s="633">
        <f>IFERROR(IF(B109="Funkcna poziadavka",VLOOKUP(G109,MODULY_CBA!$B$3:$E$23,3,0),),)</f>
        <v>0.99499999999999988</v>
      </c>
      <c r="N109" s="633">
        <f>IFERROR(IF(B109="funkcna poziadavka",VLOOKUP(G109,MODULY_CBA!$B$3:$E$23,2,0),),)</f>
        <v>0.99</v>
      </c>
      <c r="O109" s="634">
        <f t="shared" si="11"/>
        <v>29.551499999999997</v>
      </c>
      <c r="P109" s="635">
        <f>IFERROR(O109*VLOOKUP(G109,MODULY_CBA!$B$3:$F$23,5,0),)</f>
        <v>886.54499999999996</v>
      </c>
      <c r="Q109" s="471" t="str">
        <f>IFERROR(VLOOKUP(G109,MODULY_CBA!$B$3:$I$23,6,0),"")</f>
        <v>Inkrement 3</v>
      </c>
      <c r="R109" s="385"/>
      <c r="S109" s="385"/>
      <c r="T109" s="385"/>
      <c r="U109" s="385"/>
      <c r="V109" s="388"/>
      <c r="W109" s="378"/>
      <c r="X109" s="378"/>
      <c r="Y109" s="385"/>
      <c r="Z109" s="385"/>
      <c r="AA109" s="385"/>
      <c r="AB109" s="385"/>
      <c r="AC109" s="385"/>
      <c r="AD109" s="385"/>
      <c r="AE109" s="385"/>
      <c r="AF109" s="390"/>
      <c r="AG109" s="389"/>
    </row>
    <row r="110" spans="1:33" s="387" customFormat="1" ht="38.25">
      <c r="A110" s="393" t="s">
        <v>992</v>
      </c>
      <c r="B110" s="393" t="s">
        <v>739</v>
      </c>
      <c r="C110" s="524" t="s">
        <v>795</v>
      </c>
      <c r="D110" s="386" t="s">
        <v>1128</v>
      </c>
      <c r="E110" s="525" t="s">
        <v>1245</v>
      </c>
      <c r="F110" s="386" t="s">
        <v>797</v>
      </c>
      <c r="G110" s="386" t="s">
        <v>1312</v>
      </c>
      <c r="H110" s="381">
        <v>2</v>
      </c>
      <c r="I110" s="381">
        <v>15</v>
      </c>
      <c r="J110" s="381">
        <f t="shared" si="9"/>
        <v>2</v>
      </c>
      <c r="K110" s="633">
        <f t="shared" si="10"/>
        <v>30</v>
      </c>
      <c r="L110" s="634">
        <f>IFERROR(IF(B110="funkcna poziadavka",VLOOKUP(G110,MODULY_CBA!$B$3:$E$23,4,0)*H110/SUMIFS($H$3:$H$197,$G$3:$G$197,G110,$B$3:$B$197,B110),),)</f>
        <v>0</v>
      </c>
      <c r="M110" s="633">
        <f>IFERROR(IF(B110="Funkcna poziadavka",VLOOKUP(G110,MODULY_CBA!$B$3:$E$23,3,0),),)</f>
        <v>0.99499999999999988</v>
      </c>
      <c r="N110" s="633">
        <f>IFERROR(IF(B110="funkcna poziadavka",VLOOKUP(G110,MODULY_CBA!$B$3:$E$23,2,0),),)</f>
        <v>0.99</v>
      </c>
      <c r="O110" s="634">
        <f t="shared" si="11"/>
        <v>29.551499999999997</v>
      </c>
      <c r="P110" s="635">
        <f>IFERROR(O110*VLOOKUP(G110,MODULY_CBA!$B$3:$F$23,5,0),)</f>
        <v>886.54499999999996</v>
      </c>
      <c r="Q110" s="471" t="str">
        <f>IFERROR(VLOOKUP(G110,MODULY_CBA!$B$3:$I$23,6,0),"")</f>
        <v>Inkrement 3</v>
      </c>
      <c r="R110" s="385"/>
      <c r="S110" s="385"/>
      <c r="T110" s="385"/>
      <c r="U110" s="385"/>
      <c r="V110" s="388"/>
      <c r="W110" s="378"/>
      <c r="X110" s="378"/>
      <c r="Y110" s="385"/>
      <c r="Z110" s="385"/>
      <c r="AA110" s="385"/>
      <c r="AB110" s="385"/>
      <c r="AC110" s="385"/>
      <c r="AD110" s="385"/>
      <c r="AE110" s="385"/>
      <c r="AF110" s="390"/>
      <c r="AG110" s="389"/>
    </row>
    <row r="111" spans="1:33" s="387" customFormat="1" ht="38.25">
      <c r="A111" s="393" t="s">
        <v>993</v>
      </c>
      <c r="B111" s="393" t="s">
        <v>739</v>
      </c>
      <c r="C111" s="524" t="s">
        <v>795</v>
      </c>
      <c r="D111" s="386" t="s">
        <v>1129</v>
      </c>
      <c r="E111" s="525" t="s">
        <v>1246</v>
      </c>
      <c r="F111" s="386" t="s">
        <v>797</v>
      </c>
      <c r="G111" s="386" t="s">
        <v>1315</v>
      </c>
      <c r="H111" s="381">
        <v>2</v>
      </c>
      <c r="I111" s="381">
        <v>10</v>
      </c>
      <c r="J111" s="381">
        <f t="shared" si="9"/>
        <v>2</v>
      </c>
      <c r="K111" s="633">
        <f t="shared" si="10"/>
        <v>20</v>
      </c>
      <c r="L111" s="634">
        <f>IFERROR(IF(B111="funkcna poziadavka",VLOOKUP(G111,MODULY_CBA!$B$3:$E$23,4,0)*H111/SUMIFS($H$3:$H$197,$G$3:$G$197,G111,$B$3:$B$197,B111),),)</f>
        <v>0</v>
      </c>
      <c r="M111" s="633">
        <f>IFERROR(IF(B111="Funkcna poziadavka",VLOOKUP(G111,MODULY_CBA!$B$3:$E$23,3,0),),)</f>
        <v>0.99499999999999988</v>
      </c>
      <c r="N111" s="633">
        <f>IFERROR(IF(B111="funkcna poziadavka",VLOOKUP(G111,MODULY_CBA!$B$3:$E$23,2,0),),)</f>
        <v>0.99</v>
      </c>
      <c r="O111" s="634">
        <f t="shared" si="11"/>
        <v>19.700999999999997</v>
      </c>
      <c r="P111" s="635">
        <f>IFERROR(O111*VLOOKUP(G111,MODULY_CBA!$B$3:$F$23,5,0),)</f>
        <v>591.02999999999986</v>
      </c>
      <c r="Q111" s="471" t="str">
        <f>IFERROR(VLOOKUP(G111,MODULY_CBA!$B$3:$I$23,6,0),"")</f>
        <v>Inkrement 3</v>
      </c>
      <c r="R111" s="385"/>
      <c r="S111" s="385"/>
      <c r="T111" s="385"/>
      <c r="U111" s="385"/>
      <c r="V111" s="388"/>
      <c r="W111" s="378"/>
      <c r="X111" s="378"/>
      <c r="Y111" s="385"/>
      <c r="Z111" s="385"/>
      <c r="AA111" s="385"/>
      <c r="AB111" s="385"/>
      <c r="AC111" s="385"/>
      <c r="AD111" s="385"/>
      <c r="AE111" s="385"/>
      <c r="AF111" s="390"/>
      <c r="AG111" s="389"/>
    </row>
    <row r="112" spans="1:33" s="387" customFormat="1" ht="38.25">
      <c r="A112" s="393" t="s">
        <v>994</v>
      </c>
      <c r="B112" s="393" t="s">
        <v>739</v>
      </c>
      <c r="C112" s="524" t="s">
        <v>795</v>
      </c>
      <c r="D112" s="386" t="s">
        <v>1130</v>
      </c>
      <c r="E112" s="525" t="s">
        <v>1247</v>
      </c>
      <c r="F112" s="386" t="s">
        <v>797</v>
      </c>
      <c r="G112" s="386" t="s">
        <v>1315</v>
      </c>
      <c r="H112" s="381">
        <v>2</v>
      </c>
      <c r="I112" s="381">
        <v>10</v>
      </c>
      <c r="J112" s="381">
        <f t="shared" si="9"/>
        <v>2</v>
      </c>
      <c r="K112" s="633">
        <f t="shared" si="10"/>
        <v>20</v>
      </c>
      <c r="L112" s="634">
        <f>IFERROR(IF(B112="funkcna poziadavka",VLOOKUP(G112,MODULY_CBA!$B$3:$E$23,4,0)*H112/SUMIFS($H$3:$H$197,$G$3:$G$197,G112,$B$3:$B$197,B112),),)</f>
        <v>0</v>
      </c>
      <c r="M112" s="633">
        <f>IFERROR(IF(B112="Funkcna poziadavka",VLOOKUP(G112,MODULY_CBA!$B$3:$E$23,3,0),),)</f>
        <v>0.99499999999999988</v>
      </c>
      <c r="N112" s="633">
        <f>IFERROR(IF(B112="funkcna poziadavka",VLOOKUP(G112,MODULY_CBA!$B$3:$E$23,2,0),),)</f>
        <v>0.99</v>
      </c>
      <c r="O112" s="634">
        <f t="shared" si="11"/>
        <v>19.700999999999997</v>
      </c>
      <c r="P112" s="635">
        <f>IFERROR(O112*VLOOKUP(G112,MODULY_CBA!$B$3:$F$23,5,0),)</f>
        <v>591.02999999999986</v>
      </c>
      <c r="Q112" s="471" t="str">
        <f>IFERROR(VLOOKUP(G112,MODULY_CBA!$B$3:$I$23,6,0),"")</f>
        <v>Inkrement 3</v>
      </c>
      <c r="R112" s="385"/>
      <c r="S112" s="385"/>
      <c r="T112" s="385"/>
      <c r="U112" s="385"/>
      <c r="V112" s="388"/>
      <c r="W112" s="378"/>
      <c r="X112" s="378"/>
      <c r="Y112" s="385"/>
      <c r="Z112" s="385"/>
      <c r="AA112" s="385"/>
      <c r="AB112" s="385"/>
      <c r="AC112" s="385"/>
      <c r="AD112" s="385"/>
      <c r="AE112" s="385"/>
      <c r="AF112" s="390"/>
      <c r="AG112" s="389"/>
    </row>
    <row r="113" spans="1:33" s="387" customFormat="1" ht="38.25">
      <c r="A113" s="393" t="s">
        <v>995</v>
      </c>
      <c r="B113" s="393" t="s">
        <v>739</v>
      </c>
      <c r="C113" s="524" t="s">
        <v>795</v>
      </c>
      <c r="D113" s="386" t="s">
        <v>1131</v>
      </c>
      <c r="E113" s="525" t="s">
        <v>1248</v>
      </c>
      <c r="F113" s="386" t="s">
        <v>797</v>
      </c>
      <c r="G113" s="386" t="s">
        <v>1315</v>
      </c>
      <c r="H113" s="381">
        <v>2</v>
      </c>
      <c r="I113" s="381">
        <v>10</v>
      </c>
      <c r="J113" s="381">
        <f t="shared" si="9"/>
        <v>2</v>
      </c>
      <c r="K113" s="633">
        <f t="shared" si="10"/>
        <v>20</v>
      </c>
      <c r="L113" s="634">
        <f>IFERROR(IF(B113="funkcna poziadavka",VLOOKUP(G113,MODULY_CBA!$B$3:$E$23,4,0)*H113/SUMIFS($H$3:$H$197,$G$3:$G$197,G113,$B$3:$B$197,B113),),)</f>
        <v>0</v>
      </c>
      <c r="M113" s="633">
        <f>IFERROR(IF(B113="Funkcna poziadavka",VLOOKUP(G113,MODULY_CBA!$B$3:$E$23,3,0),),)</f>
        <v>0.99499999999999988</v>
      </c>
      <c r="N113" s="633">
        <f>IFERROR(IF(B113="funkcna poziadavka",VLOOKUP(G113,MODULY_CBA!$B$3:$E$23,2,0),),)</f>
        <v>0.99</v>
      </c>
      <c r="O113" s="634">
        <f t="shared" si="11"/>
        <v>19.700999999999997</v>
      </c>
      <c r="P113" s="635">
        <f>IFERROR(O113*VLOOKUP(G113,MODULY_CBA!$B$3:$F$23,5,0),)</f>
        <v>591.02999999999986</v>
      </c>
      <c r="Q113" s="471" t="str">
        <f>IFERROR(VLOOKUP(G113,MODULY_CBA!$B$3:$I$23,6,0),"")</f>
        <v>Inkrement 3</v>
      </c>
      <c r="R113" s="385"/>
      <c r="S113" s="385"/>
      <c r="T113" s="385"/>
      <c r="U113" s="385"/>
      <c r="V113" s="388"/>
      <c r="W113" s="378"/>
      <c r="X113" s="378"/>
      <c r="Y113" s="385"/>
      <c r="Z113" s="385"/>
      <c r="AA113" s="385"/>
      <c r="AB113" s="385"/>
      <c r="AC113" s="385"/>
      <c r="AD113" s="385"/>
      <c r="AE113" s="385"/>
      <c r="AF113" s="390"/>
      <c r="AG113" s="389"/>
    </row>
    <row r="114" spans="1:33" s="387" customFormat="1" ht="38.25">
      <c r="A114" s="393" t="s">
        <v>996</v>
      </c>
      <c r="B114" s="393" t="s">
        <v>739</v>
      </c>
      <c r="C114" s="524" t="s">
        <v>795</v>
      </c>
      <c r="D114" s="386" t="s">
        <v>1132</v>
      </c>
      <c r="E114" s="525" t="s">
        <v>1249</v>
      </c>
      <c r="F114" s="386" t="s">
        <v>797</v>
      </c>
      <c r="G114" s="386" t="s">
        <v>1315</v>
      </c>
      <c r="H114" s="381">
        <v>2</v>
      </c>
      <c r="I114" s="381">
        <v>10</v>
      </c>
      <c r="J114" s="381">
        <f t="shared" si="9"/>
        <v>2</v>
      </c>
      <c r="K114" s="633">
        <f t="shared" si="10"/>
        <v>20</v>
      </c>
      <c r="L114" s="634">
        <f>IFERROR(IF(B114="funkcna poziadavka",VLOOKUP(G114,MODULY_CBA!$B$3:$E$23,4,0)*H114/SUMIFS($H$3:$H$197,$G$3:$G$197,G114,$B$3:$B$197,B114),),)</f>
        <v>0</v>
      </c>
      <c r="M114" s="633">
        <f>IFERROR(IF(B114="Funkcna poziadavka",VLOOKUP(G114,MODULY_CBA!$B$3:$E$23,3,0),),)</f>
        <v>0.99499999999999988</v>
      </c>
      <c r="N114" s="633">
        <f>IFERROR(IF(B114="funkcna poziadavka",VLOOKUP(G114,MODULY_CBA!$B$3:$E$23,2,0),),)</f>
        <v>0.99</v>
      </c>
      <c r="O114" s="634">
        <f t="shared" si="11"/>
        <v>19.700999999999997</v>
      </c>
      <c r="P114" s="635">
        <f>IFERROR(O114*VLOOKUP(G114,MODULY_CBA!$B$3:$F$23,5,0),)</f>
        <v>591.02999999999986</v>
      </c>
      <c r="Q114" s="471" t="str">
        <f>IFERROR(VLOOKUP(G114,MODULY_CBA!$B$3:$I$23,6,0),"")</f>
        <v>Inkrement 3</v>
      </c>
      <c r="R114" s="385"/>
      <c r="S114" s="385"/>
      <c r="T114" s="385"/>
      <c r="U114" s="385"/>
      <c r="V114" s="388"/>
      <c r="W114" s="378"/>
      <c r="X114" s="378"/>
      <c r="Y114" s="385"/>
      <c r="Z114" s="385"/>
      <c r="AA114" s="385"/>
      <c r="AB114" s="385"/>
      <c r="AC114" s="385"/>
      <c r="AD114" s="385"/>
      <c r="AE114" s="385"/>
      <c r="AF114" s="390"/>
      <c r="AG114" s="389"/>
    </row>
    <row r="115" spans="1:33" s="387" customFormat="1" ht="38.25">
      <c r="A115" s="393" t="s">
        <v>997</v>
      </c>
      <c r="B115" s="393" t="s">
        <v>739</v>
      </c>
      <c r="C115" s="524" t="s">
        <v>795</v>
      </c>
      <c r="D115" s="386" t="s">
        <v>1133</v>
      </c>
      <c r="E115" s="525" t="s">
        <v>1250</v>
      </c>
      <c r="F115" s="386" t="s">
        <v>797</v>
      </c>
      <c r="G115" s="386" t="s">
        <v>1315</v>
      </c>
      <c r="H115" s="381">
        <v>2</v>
      </c>
      <c r="I115" s="381">
        <v>10</v>
      </c>
      <c r="J115" s="381">
        <f t="shared" si="9"/>
        <v>2</v>
      </c>
      <c r="K115" s="633">
        <f t="shared" si="10"/>
        <v>20</v>
      </c>
      <c r="L115" s="634">
        <f>IFERROR(IF(B115="funkcna poziadavka",VLOOKUP(G115,MODULY_CBA!$B$3:$E$23,4,0)*H115/SUMIFS($H$3:$H$197,$G$3:$G$197,G115,$B$3:$B$197,B115),),)</f>
        <v>0</v>
      </c>
      <c r="M115" s="633">
        <f>IFERROR(IF(B115="Funkcna poziadavka",VLOOKUP(G115,MODULY_CBA!$B$3:$E$23,3,0),),)</f>
        <v>0.99499999999999988</v>
      </c>
      <c r="N115" s="633">
        <f>IFERROR(IF(B115="funkcna poziadavka",VLOOKUP(G115,MODULY_CBA!$B$3:$E$23,2,0),),)</f>
        <v>0.99</v>
      </c>
      <c r="O115" s="634">
        <f t="shared" si="11"/>
        <v>19.700999999999997</v>
      </c>
      <c r="P115" s="635">
        <f>IFERROR(O115*VLOOKUP(G115,MODULY_CBA!$B$3:$F$23,5,0),)</f>
        <v>591.02999999999986</v>
      </c>
      <c r="Q115" s="471" t="str">
        <f>IFERROR(VLOOKUP(G115,MODULY_CBA!$B$3:$I$23,6,0),"")</f>
        <v>Inkrement 3</v>
      </c>
      <c r="R115" s="385"/>
      <c r="S115" s="385"/>
      <c r="T115" s="385"/>
      <c r="U115" s="385"/>
      <c r="V115" s="388"/>
      <c r="W115" s="378"/>
      <c r="X115" s="378"/>
      <c r="Y115" s="385"/>
      <c r="Z115" s="385"/>
      <c r="AA115" s="385"/>
      <c r="AB115" s="385"/>
      <c r="AC115" s="385"/>
      <c r="AD115" s="385"/>
      <c r="AE115" s="385"/>
      <c r="AF115" s="390"/>
      <c r="AG115" s="389"/>
    </row>
    <row r="116" spans="1:33" s="387" customFormat="1" ht="38.25">
      <c r="A116" s="393" t="s">
        <v>998</v>
      </c>
      <c r="B116" s="393" t="s">
        <v>739</v>
      </c>
      <c r="C116" s="524" t="s">
        <v>795</v>
      </c>
      <c r="D116" s="386" t="s">
        <v>1134</v>
      </c>
      <c r="E116" s="525" t="s">
        <v>1251</v>
      </c>
      <c r="F116" s="386" t="s">
        <v>797</v>
      </c>
      <c r="G116" s="386" t="s">
        <v>1315</v>
      </c>
      <c r="H116" s="381">
        <v>2</v>
      </c>
      <c r="I116" s="381">
        <v>10</v>
      </c>
      <c r="J116" s="381">
        <f t="shared" si="9"/>
        <v>2</v>
      </c>
      <c r="K116" s="633">
        <f t="shared" si="10"/>
        <v>20</v>
      </c>
      <c r="L116" s="634">
        <f>IFERROR(IF(B116="funkcna poziadavka",VLOOKUP(G116,MODULY_CBA!$B$3:$E$23,4,0)*H116/SUMIFS($H$3:$H$197,$G$3:$G$197,G116,$B$3:$B$197,B116),),)</f>
        <v>0</v>
      </c>
      <c r="M116" s="633">
        <f>IFERROR(IF(B116="Funkcna poziadavka",VLOOKUP(G116,MODULY_CBA!$B$3:$E$23,3,0),),)</f>
        <v>0.99499999999999988</v>
      </c>
      <c r="N116" s="633">
        <f>IFERROR(IF(B116="funkcna poziadavka",VLOOKUP(G116,MODULY_CBA!$B$3:$E$23,2,0),),)</f>
        <v>0.99</v>
      </c>
      <c r="O116" s="634">
        <f t="shared" si="11"/>
        <v>19.700999999999997</v>
      </c>
      <c r="P116" s="635">
        <f>IFERROR(O116*VLOOKUP(G116,MODULY_CBA!$B$3:$F$23,5,0),)</f>
        <v>591.02999999999986</v>
      </c>
      <c r="Q116" s="471" t="str">
        <f>IFERROR(VLOOKUP(G116,MODULY_CBA!$B$3:$I$23,6,0),"")</f>
        <v>Inkrement 3</v>
      </c>
      <c r="R116" s="385"/>
      <c r="S116" s="385"/>
      <c r="T116" s="385"/>
      <c r="U116" s="385"/>
      <c r="V116" s="388"/>
      <c r="W116" s="378"/>
      <c r="X116" s="378"/>
      <c r="Y116" s="385"/>
      <c r="Z116" s="385"/>
      <c r="AA116" s="385"/>
      <c r="AB116" s="385"/>
      <c r="AC116" s="385"/>
      <c r="AD116" s="385"/>
      <c r="AE116" s="385"/>
      <c r="AF116" s="390"/>
      <c r="AG116" s="389"/>
    </row>
    <row r="117" spans="1:33" s="387" customFormat="1" ht="38.25">
      <c r="A117" s="393" t="s">
        <v>999</v>
      </c>
      <c r="B117" s="393" t="s">
        <v>739</v>
      </c>
      <c r="C117" s="524" t="s">
        <v>795</v>
      </c>
      <c r="D117" s="386" t="s">
        <v>1135</v>
      </c>
      <c r="E117" s="525" t="s">
        <v>1252</v>
      </c>
      <c r="F117" s="386" t="s">
        <v>797</v>
      </c>
      <c r="G117" s="386" t="s">
        <v>1315</v>
      </c>
      <c r="H117" s="381">
        <v>2</v>
      </c>
      <c r="I117" s="381">
        <v>10</v>
      </c>
      <c r="J117" s="381">
        <f t="shared" si="9"/>
        <v>2</v>
      </c>
      <c r="K117" s="633">
        <f t="shared" si="10"/>
        <v>20</v>
      </c>
      <c r="L117" s="634">
        <f>IFERROR(IF(B117="funkcna poziadavka",VLOOKUP(G117,MODULY_CBA!$B$3:$E$23,4,0)*H117/SUMIFS($H$3:$H$197,$G$3:$G$197,G117,$B$3:$B$197,B117),),)</f>
        <v>0</v>
      </c>
      <c r="M117" s="633">
        <f>IFERROR(IF(B117="Funkcna poziadavka",VLOOKUP(G117,MODULY_CBA!$B$3:$E$23,3,0),),)</f>
        <v>0.99499999999999988</v>
      </c>
      <c r="N117" s="633">
        <f>IFERROR(IF(B117="funkcna poziadavka",VLOOKUP(G117,MODULY_CBA!$B$3:$E$23,2,0),),)</f>
        <v>0.99</v>
      </c>
      <c r="O117" s="634">
        <f t="shared" si="11"/>
        <v>19.700999999999997</v>
      </c>
      <c r="P117" s="635">
        <f>IFERROR(O117*VLOOKUP(G117,MODULY_CBA!$B$3:$F$23,5,0),)</f>
        <v>591.02999999999986</v>
      </c>
      <c r="Q117" s="471" t="str">
        <f>IFERROR(VLOOKUP(G117,MODULY_CBA!$B$3:$I$23,6,0),"")</f>
        <v>Inkrement 3</v>
      </c>
      <c r="R117" s="385"/>
      <c r="S117" s="385"/>
      <c r="T117" s="385"/>
      <c r="U117" s="385"/>
      <c r="V117" s="388"/>
      <c r="W117" s="378"/>
      <c r="X117" s="378"/>
      <c r="Y117" s="385"/>
      <c r="Z117" s="385"/>
      <c r="AA117" s="385"/>
      <c r="AB117" s="385"/>
      <c r="AC117" s="385"/>
      <c r="AD117" s="385"/>
      <c r="AE117" s="385"/>
      <c r="AF117" s="390"/>
      <c r="AG117" s="389"/>
    </row>
    <row r="118" spans="1:33" s="387" customFormat="1" ht="38.25">
      <c r="A118" s="393" t="s">
        <v>1000</v>
      </c>
      <c r="B118" s="393" t="s">
        <v>739</v>
      </c>
      <c r="C118" s="524" t="s">
        <v>795</v>
      </c>
      <c r="D118" s="386" t="s">
        <v>1136</v>
      </c>
      <c r="E118" s="525" t="s">
        <v>1253</v>
      </c>
      <c r="F118" s="386" t="s">
        <v>797</v>
      </c>
      <c r="G118" s="386" t="s">
        <v>1316</v>
      </c>
      <c r="H118" s="381">
        <v>2</v>
      </c>
      <c r="I118" s="381">
        <v>10</v>
      </c>
      <c r="J118" s="381">
        <f t="shared" si="9"/>
        <v>2</v>
      </c>
      <c r="K118" s="633">
        <f t="shared" si="10"/>
        <v>20</v>
      </c>
      <c r="L118" s="634">
        <f>IFERROR(IF(B118="funkcna poziadavka",VLOOKUP(G118,MODULY_CBA!$B$3:$E$23,4,0)*H118/SUMIFS($H$3:$H$197,$G$3:$G$197,G118,$B$3:$B$197,B118),),)</f>
        <v>0</v>
      </c>
      <c r="M118" s="633">
        <f>IFERROR(IF(B118="Funkcna poziadavka",VLOOKUP(G118,MODULY_CBA!$B$3:$E$23,3,0),),)</f>
        <v>0.99499999999999988</v>
      </c>
      <c r="N118" s="633">
        <f>IFERROR(IF(B118="funkcna poziadavka",VLOOKUP(G118,MODULY_CBA!$B$3:$E$23,2,0),),)</f>
        <v>0.99</v>
      </c>
      <c r="O118" s="634">
        <f t="shared" si="11"/>
        <v>19.700999999999997</v>
      </c>
      <c r="P118" s="635">
        <f>IFERROR(O118*VLOOKUP(G118,MODULY_CBA!$B$3:$F$23,5,0),)</f>
        <v>591.02999999999986</v>
      </c>
      <c r="Q118" s="471" t="str">
        <f>IFERROR(VLOOKUP(G118,MODULY_CBA!$B$3:$I$23,6,0),"")</f>
        <v>Inkrement 3</v>
      </c>
      <c r="R118" s="385"/>
      <c r="S118" s="385"/>
      <c r="T118" s="385"/>
      <c r="U118" s="385"/>
      <c r="V118" s="388"/>
      <c r="W118" s="378"/>
      <c r="X118" s="378"/>
      <c r="Y118" s="385"/>
      <c r="Z118" s="385"/>
      <c r="AA118" s="385"/>
      <c r="AB118" s="385"/>
      <c r="AC118" s="385"/>
      <c r="AD118" s="385"/>
      <c r="AE118" s="385"/>
      <c r="AF118" s="390"/>
      <c r="AG118" s="389"/>
    </row>
    <row r="119" spans="1:33" s="387" customFormat="1" ht="38.25">
      <c r="A119" s="393" t="s">
        <v>1001</v>
      </c>
      <c r="B119" s="393" t="s">
        <v>739</v>
      </c>
      <c r="C119" s="524" t="s">
        <v>795</v>
      </c>
      <c r="D119" s="386" t="s">
        <v>1137</v>
      </c>
      <c r="E119" s="525" t="s">
        <v>1254</v>
      </c>
      <c r="F119" s="386" t="s">
        <v>797</v>
      </c>
      <c r="G119" s="386" t="s">
        <v>1316</v>
      </c>
      <c r="H119" s="381">
        <v>2</v>
      </c>
      <c r="I119" s="381">
        <v>10</v>
      </c>
      <c r="J119" s="381">
        <f t="shared" si="9"/>
        <v>2</v>
      </c>
      <c r="K119" s="633">
        <f t="shared" si="10"/>
        <v>20</v>
      </c>
      <c r="L119" s="634">
        <f>IFERROR(IF(B119="funkcna poziadavka",VLOOKUP(G119,MODULY_CBA!$B$3:$E$23,4,0)*H119/SUMIFS($H$3:$H$197,$G$3:$G$197,G119,$B$3:$B$197,B119),),)</f>
        <v>0</v>
      </c>
      <c r="M119" s="633">
        <f>IFERROR(IF(B119="Funkcna poziadavka",VLOOKUP(G119,MODULY_CBA!$B$3:$E$23,3,0),),)</f>
        <v>0.99499999999999988</v>
      </c>
      <c r="N119" s="633">
        <f>IFERROR(IF(B119="funkcna poziadavka",VLOOKUP(G119,MODULY_CBA!$B$3:$E$23,2,0),),)</f>
        <v>0.99</v>
      </c>
      <c r="O119" s="634">
        <f t="shared" si="11"/>
        <v>19.700999999999997</v>
      </c>
      <c r="P119" s="635">
        <f>IFERROR(O119*VLOOKUP(G119,MODULY_CBA!$B$3:$F$23,5,0),)</f>
        <v>591.02999999999986</v>
      </c>
      <c r="Q119" s="471" t="str">
        <f>IFERROR(VLOOKUP(G119,MODULY_CBA!$B$3:$I$23,6,0),"")</f>
        <v>Inkrement 3</v>
      </c>
      <c r="R119" s="385"/>
      <c r="S119" s="385"/>
      <c r="T119" s="385"/>
      <c r="U119" s="385"/>
      <c r="V119" s="388"/>
      <c r="W119" s="378"/>
      <c r="X119" s="378"/>
      <c r="Y119" s="385"/>
      <c r="Z119" s="385"/>
      <c r="AA119" s="385"/>
      <c r="AB119" s="385"/>
      <c r="AC119" s="385"/>
      <c r="AD119" s="385"/>
      <c r="AE119" s="385"/>
      <c r="AF119" s="390"/>
      <c r="AG119" s="389"/>
    </row>
    <row r="120" spans="1:33" s="387" customFormat="1" ht="38.25">
      <c r="A120" s="393" t="s">
        <v>1002</v>
      </c>
      <c r="B120" s="393" t="s">
        <v>739</v>
      </c>
      <c r="C120" s="524" t="s">
        <v>795</v>
      </c>
      <c r="D120" s="386" t="s">
        <v>1138</v>
      </c>
      <c r="E120" s="525" t="s">
        <v>1255</v>
      </c>
      <c r="F120" s="386" t="s">
        <v>797</v>
      </c>
      <c r="G120" s="386" t="s">
        <v>1316</v>
      </c>
      <c r="H120" s="381">
        <v>2</v>
      </c>
      <c r="I120" s="381">
        <v>10</v>
      </c>
      <c r="J120" s="381">
        <f t="shared" si="9"/>
        <v>2</v>
      </c>
      <c r="K120" s="633">
        <f t="shared" si="10"/>
        <v>20</v>
      </c>
      <c r="L120" s="634">
        <f>IFERROR(IF(B120="funkcna poziadavka",VLOOKUP(G120,MODULY_CBA!$B$3:$E$23,4,0)*H120/SUMIFS($H$3:$H$197,$G$3:$G$197,G120,$B$3:$B$197,B120),),)</f>
        <v>0</v>
      </c>
      <c r="M120" s="633">
        <f>IFERROR(IF(B120="Funkcna poziadavka",VLOOKUP(G120,MODULY_CBA!$B$3:$E$23,3,0),),)</f>
        <v>0.99499999999999988</v>
      </c>
      <c r="N120" s="633">
        <f>IFERROR(IF(B120="funkcna poziadavka",VLOOKUP(G120,MODULY_CBA!$B$3:$E$23,2,0),),)</f>
        <v>0.99</v>
      </c>
      <c r="O120" s="634">
        <f t="shared" si="11"/>
        <v>19.700999999999997</v>
      </c>
      <c r="P120" s="635">
        <f>IFERROR(O120*VLOOKUP(G120,MODULY_CBA!$B$3:$F$23,5,0),)</f>
        <v>591.02999999999986</v>
      </c>
      <c r="Q120" s="471" t="str">
        <f>IFERROR(VLOOKUP(G120,MODULY_CBA!$B$3:$I$23,6,0),"")</f>
        <v>Inkrement 3</v>
      </c>
      <c r="R120" s="385"/>
      <c r="S120" s="385"/>
      <c r="T120" s="385"/>
      <c r="U120" s="385"/>
      <c r="V120" s="388"/>
      <c r="W120" s="378"/>
      <c r="X120" s="378"/>
      <c r="Y120" s="385"/>
      <c r="Z120" s="385"/>
      <c r="AA120" s="385"/>
      <c r="AB120" s="385"/>
      <c r="AC120" s="385"/>
      <c r="AD120" s="385"/>
      <c r="AE120" s="385"/>
      <c r="AF120" s="390"/>
      <c r="AG120" s="389"/>
    </row>
    <row r="121" spans="1:33" s="387" customFormat="1" ht="38.25">
      <c r="A121" s="393" t="s">
        <v>1003</v>
      </c>
      <c r="B121" s="393" t="s">
        <v>739</v>
      </c>
      <c r="C121" s="524" t="s">
        <v>795</v>
      </c>
      <c r="D121" s="386" t="s">
        <v>1139</v>
      </c>
      <c r="E121" s="525" t="s">
        <v>1256</v>
      </c>
      <c r="F121" s="386" t="s">
        <v>797</v>
      </c>
      <c r="G121" s="386" t="s">
        <v>1316</v>
      </c>
      <c r="H121" s="381">
        <v>2</v>
      </c>
      <c r="I121" s="381">
        <v>10</v>
      </c>
      <c r="J121" s="381">
        <f t="shared" si="9"/>
        <v>2</v>
      </c>
      <c r="K121" s="633">
        <f t="shared" si="10"/>
        <v>20</v>
      </c>
      <c r="L121" s="634">
        <f>IFERROR(IF(B121="funkcna poziadavka",VLOOKUP(G121,MODULY_CBA!$B$3:$E$23,4,0)*H121/SUMIFS($H$3:$H$197,$G$3:$G$197,G121,$B$3:$B$197,B121),),)</f>
        <v>0</v>
      </c>
      <c r="M121" s="633">
        <f>IFERROR(IF(B121="Funkcna poziadavka",VLOOKUP(G121,MODULY_CBA!$B$3:$E$23,3,0),),)</f>
        <v>0.99499999999999988</v>
      </c>
      <c r="N121" s="633">
        <f>IFERROR(IF(B121="funkcna poziadavka",VLOOKUP(G121,MODULY_CBA!$B$3:$E$23,2,0),),)</f>
        <v>0.99</v>
      </c>
      <c r="O121" s="634">
        <f t="shared" si="11"/>
        <v>19.700999999999997</v>
      </c>
      <c r="P121" s="635">
        <f>IFERROR(O121*VLOOKUP(G121,MODULY_CBA!$B$3:$F$23,5,0),)</f>
        <v>591.02999999999986</v>
      </c>
      <c r="Q121" s="471" t="str">
        <f>IFERROR(VLOOKUP(G121,MODULY_CBA!$B$3:$I$23,6,0),"")</f>
        <v>Inkrement 3</v>
      </c>
      <c r="R121" s="385"/>
      <c r="S121" s="385"/>
      <c r="T121" s="385"/>
      <c r="U121" s="385"/>
      <c r="V121" s="388"/>
      <c r="W121" s="378"/>
      <c r="X121" s="378"/>
      <c r="Y121" s="385"/>
      <c r="Z121" s="385"/>
      <c r="AA121" s="385"/>
      <c r="AB121" s="385"/>
      <c r="AC121" s="385"/>
      <c r="AD121" s="385"/>
      <c r="AE121" s="385"/>
      <c r="AF121" s="390"/>
      <c r="AG121" s="389"/>
    </row>
    <row r="122" spans="1:33" s="387" customFormat="1" ht="38.25">
      <c r="A122" s="393" t="s">
        <v>1004</v>
      </c>
      <c r="B122" s="393" t="s">
        <v>739</v>
      </c>
      <c r="C122" s="524" t="s">
        <v>795</v>
      </c>
      <c r="D122" s="386" t="s">
        <v>1140</v>
      </c>
      <c r="E122" s="525" t="s">
        <v>1257</v>
      </c>
      <c r="F122" s="386" t="s">
        <v>797</v>
      </c>
      <c r="G122" s="386" t="s">
        <v>1316</v>
      </c>
      <c r="H122" s="381">
        <v>2</v>
      </c>
      <c r="I122" s="381">
        <v>10</v>
      </c>
      <c r="J122" s="381">
        <f t="shared" si="9"/>
        <v>2</v>
      </c>
      <c r="K122" s="633">
        <f t="shared" si="10"/>
        <v>20</v>
      </c>
      <c r="L122" s="634">
        <f>IFERROR(IF(B122="funkcna poziadavka",VLOOKUP(G122,MODULY_CBA!$B$3:$E$23,4,0)*H122/SUMIFS($H$3:$H$197,$G$3:$G$197,G122,$B$3:$B$197,B122),),)</f>
        <v>0</v>
      </c>
      <c r="M122" s="633">
        <f>IFERROR(IF(B122="Funkcna poziadavka",VLOOKUP(G122,MODULY_CBA!$B$3:$E$23,3,0),),)</f>
        <v>0.99499999999999988</v>
      </c>
      <c r="N122" s="633">
        <f>IFERROR(IF(B122="funkcna poziadavka",VLOOKUP(G122,MODULY_CBA!$B$3:$E$23,2,0),),)</f>
        <v>0.99</v>
      </c>
      <c r="O122" s="634">
        <f t="shared" si="11"/>
        <v>19.700999999999997</v>
      </c>
      <c r="P122" s="635">
        <f>IFERROR(O122*VLOOKUP(G122,MODULY_CBA!$B$3:$F$23,5,0),)</f>
        <v>591.02999999999986</v>
      </c>
      <c r="Q122" s="471" t="str">
        <f>IFERROR(VLOOKUP(G122,MODULY_CBA!$B$3:$I$23,6,0),"")</f>
        <v>Inkrement 3</v>
      </c>
      <c r="R122" s="385"/>
      <c r="S122" s="385"/>
      <c r="T122" s="385"/>
      <c r="U122" s="385"/>
      <c r="V122" s="388"/>
      <c r="W122" s="378"/>
      <c r="X122" s="378"/>
      <c r="Y122" s="385"/>
      <c r="Z122" s="385"/>
      <c r="AA122" s="385"/>
      <c r="AB122" s="385"/>
      <c r="AC122" s="385"/>
      <c r="AD122" s="385"/>
      <c r="AE122" s="385"/>
      <c r="AF122" s="390"/>
      <c r="AG122" s="389"/>
    </row>
    <row r="123" spans="1:33" s="387" customFormat="1" ht="38.25">
      <c r="A123" s="393" t="s">
        <v>1005</v>
      </c>
      <c r="B123" s="393" t="s">
        <v>739</v>
      </c>
      <c r="C123" s="524" t="s">
        <v>795</v>
      </c>
      <c r="D123" s="386" t="s">
        <v>1141</v>
      </c>
      <c r="E123" s="525" t="s">
        <v>1258</v>
      </c>
      <c r="F123" s="386" t="s">
        <v>797</v>
      </c>
      <c r="G123" s="386" t="s">
        <v>1317</v>
      </c>
      <c r="H123" s="381">
        <v>2</v>
      </c>
      <c r="I123" s="381">
        <v>10</v>
      </c>
      <c r="J123" s="381">
        <f t="shared" si="9"/>
        <v>2</v>
      </c>
      <c r="K123" s="633">
        <f t="shared" si="10"/>
        <v>20</v>
      </c>
      <c r="L123" s="634">
        <f>IFERROR(IF(B123="funkcna poziadavka",VLOOKUP(G123,MODULY_CBA!$B$3:$E$23,4,0)*H123/SUMIFS($H$3:$H$197,$G$3:$G$197,G123,$B$3:$B$197,B123),),)</f>
        <v>0</v>
      </c>
      <c r="M123" s="633">
        <f>IFERROR(IF(B123="Funkcna poziadavka",VLOOKUP(G123,MODULY_CBA!$B$3:$E$23,3,0),),)</f>
        <v>0.99499999999999988</v>
      </c>
      <c r="N123" s="633">
        <f>IFERROR(IF(B123="funkcna poziadavka",VLOOKUP(G123,MODULY_CBA!$B$3:$E$23,2,0),),)</f>
        <v>0.99</v>
      </c>
      <c r="O123" s="634">
        <f t="shared" si="11"/>
        <v>19.700999999999997</v>
      </c>
      <c r="P123" s="635">
        <f>IFERROR(O123*VLOOKUP(G123,MODULY_CBA!$B$3:$F$23,5,0),)</f>
        <v>591.02999999999986</v>
      </c>
      <c r="Q123" s="471" t="str">
        <f>IFERROR(VLOOKUP(G123,MODULY_CBA!$B$3:$I$23,6,0),"")</f>
        <v>Inkrement 3</v>
      </c>
      <c r="R123" s="385"/>
      <c r="S123" s="385"/>
      <c r="T123" s="385"/>
      <c r="U123" s="385"/>
      <c r="V123" s="388"/>
      <c r="W123" s="378"/>
      <c r="X123" s="378"/>
      <c r="Y123" s="385"/>
      <c r="Z123" s="385"/>
      <c r="AA123" s="385"/>
      <c r="AB123" s="385"/>
      <c r="AC123" s="385"/>
      <c r="AD123" s="385"/>
      <c r="AE123" s="385"/>
      <c r="AF123" s="390"/>
      <c r="AG123" s="389"/>
    </row>
    <row r="124" spans="1:33" s="387" customFormat="1" ht="38.25">
      <c r="A124" s="393" t="s">
        <v>1006</v>
      </c>
      <c r="B124" s="393" t="s">
        <v>739</v>
      </c>
      <c r="C124" s="524" t="s">
        <v>795</v>
      </c>
      <c r="D124" s="386" t="s">
        <v>1142</v>
      </c>
      <c r="E124" s="525" t="s">
        <v>1259</v>
      </c>
      <c r="F124" s="386" t="s">
        <v>797</v>
      </c>
      <c r="G124" s="386" t="s">
        <v>1317</v>
      </c>
      <c r="H124" s="381">
        <v>2</v>
      </c>
      <c r="I124" s="381">
        <v>10</v>
      </c>
      <c r="J124" s="381">
        <f t="shared" si="9"/>
        <v>2</v>
      </c>
      <c r="K124" s="633">
        <f t="shared" si="10"/>
        <v>20</v>
      </c>
      <c r="L124" s="634">
        <f>IFERROR(IF(B124="funkcna poziadavka",VLOOKUP(G124,MODULY_CBA!$B$3:$E$23,4,0)*H124/SUMIFS($H$3:$H$197,$G$3:$G$197,G124,$B$3:$B$197,B124),),)</f>
        <v>0</v>
      </c>
      <c r="M124" s="633">
        <f>IFERROR(IF(B124="Funkcna poziadavka",VLOOKUP(G124,MODULY_CBA!$B$3:$E$23,3,0),),)</f>
        <v>0.99499999999999988</v>
      </c>
      <c r="N124" s="633">
        <f>IFERROR(IF(B124="funkcna poziadavka",VLOOKUP(G124,MODULY_CBA!$B$3:$E$23,2,0),),)</f>
        <v>0.99</v>
      </c>
      <c r="O124" s="634">
        <f t="shared" si="11"/>
        <v>19.700999999999997</v>
      </c>
      <c r="P124" s="635">
        <f>IFERROR(O124*VLOOKUP(G124,MODULY_CBA!$B$3:$F$23,5,0),)</f>
        <v>591.02999999999986</v>
      </c>
      <c r="Q124" s="471" t="str">
        <f>IFERROR(VLOOKUP(G124,MODULY_CBA!$B$3:$I$23,6,0),"")</f>
        <v>Inkrement 3</v>
      </c>
      <c r="R124" s="385"/>
      <c r="S124" s="385"/>
      <c r="T124" s="385"/>
      <c r="U124" s="385"/>
      <c r="V124" s="388"/>
      <c r="W124" s="378"/>
      <c r="X124" s="378"/>
      <c r="Y124" s="385"/>
      <c r="Z124" s="385"/>
      <c r="AA124" s="385"/>
      <c r="AB124" s="385"/>
      <c r="AC124" s="385"/>
      <c r="AD124" s="385"/>
      <c r="AE124" s="385"/>
      <c r="AF124" s="390"/>
      <c r="AG124" s="389"/>
    </row>
    <row r="125" spans="1:33" s="387" customFormat="1" ht="51">
      <c r="A125" s="393" t="s">
        <v>1007</v>
      </c>
      <c r="B125" s="393" t="s">
        <v>739</v>
      </c>
      <c r="C125" s="524" t="s">
        <v>795</v>
      </c>
      <c r="D125" s="386" t="s">
        <v>1143</v>
      </c>
      <c r="E125" s="525" t="s">
        <v>1260</v>
      </c>
      <c r="F125" s="386" t="s">
        <v>797</v>
      </c>
      <c r="G125" s="386" t="s">
        <v>1317</v>
      </c>
      <c r="H125" s="381">
        <v>2</v>
      </c>
      <c r="I125" s="381">
        <v>10</v>
      </c>
      <c r="J125" s="381">
        <f t="shared" si="9"/>
        <v>2</v>
      </c>
      <c r="K125" s="633">
        <f t="shared" si="10"/>
        <v>20</v>
      </c>
      <c r="L125" s="634">
        <f>IFERROR(IF(B125="funkcna poziadavka",VLOOKUP(G125,MODULY_CBA!$B$3:$E$23,4,0)*H125/SUMIFS($H$3:$H$197,$G$3:$G$197,G125,$B$3:$B$197,B125),),)</f>
        <v>0</v>
      </c>
      <c r="M125" s="633">
        <f>IFERROR(IF(B125="Funkcna poziadavka",VLOOKUP(G125,MODULY_CBA!$B$3:$E$23,3,0),),)</f>
        <v>0.99499999999999988</v>
      </c>
      <c r="N125" s="633">
        <f>IFERROR(IF(B125="funkcna poziadavka",VLOOKUP(G125,MODULY_CBA!$B$3:$E$23,2,0),),)</f>
        <v>0.99</v>
      </c>
      <c r="O125" s="634">
        <f t="shared" si="11"/>
        <v>19.700999999999997</v>
      </c>
      <c r="P125" s="635">
        <f>IFERROR(O125*VLOOKUP(G125,MODULY_CBA!$B$3:$F$23,5,0),)</f>
        <v>591.02999999999986</v>
      </c>
      <c r="Q125" s="471" t="str">
        <f>IFERROR(VLOOKUP(G125,MODULY_CBA!$B$3:$I$23,6,0),"")</f>
        <v>Inkrement 3</v>
      </c>
      <c r="R125" s="385"/>
      <c r="S125" s="385"/>
      <c r="T125" s="385"/>
      <c r="U125" s="385"/>
      <c r="V125" s="388"/>
      <c r="W125" s="378"/>
      <c r="X125" s="378"/>
      <c r="Y125" s="385"/>
      <c r="Z125" s="385"/>
      <c r="AA125" s="385"/>
      <c r="AB125" s="385"/>
      <c r="AC125" s="385"/>
      <c r="AD125" s="385"/>
      <c r="AE125" s="385"/>
      <c r="AF125" s="390"/>
      <c r="AG125" s="389"/>
    </row>
    <row r="126" spans="1:33" s="387" customFormat="1" ht="38.25">
      <c r="A126" s="393" t="s">
        <v>1008</v>
      </c>
      <c r="B126" s="393" t="s">
        <v>739</v>
      </c>
      <c r="C126" s="524" t="s">
        <v>795</v>
      </c>
      <c r="D126" s="386" t="s">
        <v>1144</v>
      </c>
      <c r="E126" s="525" t="s">
        <v>1261</v>
      </c>
      <c r="F126" s="386" t="s">
        <v>797</v>
      </c>
      <c r="G126" s="386" t="s">
        <v>1317</v>
      </c>
      <c r="H126" s="381">
        <v>2</v>
      </c>
      <c r="I126" s="381">
        <v>10</v>
      </c>
      <c r="J126" s="381">
        <f t="shared" si="9"/>
        <v>2</v>
      </c>
      <c r="K126" s="633">
        <f t="shared" si="10"/>
        <v>20</v>
      </c>
      <c r="L126" s="634">
        <f>IFERROR(IF(B126="funkcna poziadavka",VLOOKUP(G126,MODULY_CBA!$B$3:$E$23,4,0)*H126/SUMIFS($H$3:$H$197,$G$3:$G$197,G126,$B$3:$B$197,B126),),)</f>
        <v>0</v>
      </c>
      <c r="M126" s="633">
        <f>IFERROR(IF(B126="Funkcna poziadavka",VLOOKUP(G126,MODULY_CBA!$B$3:$E$23,3,0),),)</f>
        <v>0.99499999999999988</v>
      </c>
      <c r="N126" s="633">
        <f>IFERROR(IF(B126="funkcna poziadavka",VLOOKUP(G126,MODULY_CBA!$B$3:$E$23,2,0),),)</f>
        <v>0.99</v>
      </c>
      <c r="O126" s="634">
        <f t="shared" si="11"/>
        <v>19.700999999999997</v>
      </c>
      <c r="P126" s="635">
        <f>IFERROR(O126*VLOOKUP(G126,MODULY_CBA!$B$3:$F$23,5,0),)</f>
        <v>591.02999999999986</v>
      </c>
      <c r="Q126" s="471" t="str">
        <f>IFERROR(VLOOKUP(G126,MODULY_CBA!$B$3:$I$23,6,0),"")</f>
        <v>Inkrement 3</v>
      </c>
      <c r="R126" s="385"/>
      <c r="S126" s="385"/>
      <c r="T126" s="385"/>
      <c r="U126" s="385"/>
      <c r="V126" s="388"/>
      <c r="W126" s="378"/>
      <c r="X126" s="378"/>
      <c r="Y126" s="385"/>
      <c r="Z126" s="385"/>
      <c r="AA126" s="385"/>
      <c r="AB126" s="385"/>
      <c r="AC126" s="385"/>
      <c r="AD126" s="385"/>
      <c r="AE126" s="385"/>
      <c r="AF126" s="390"/>
      <c r="AG126" s="389"/>
    </row>
    <row r="127" spans="1:33" s="387" customFormat="1" ht="38.25">
      <c r="A127" s="393" t="s">
        <v>1009</v>
      </c>
      <c r="B127" s="393" t="s">
        <v>739</v>
      </c>
      <c r="C127" s="524" t="s">
        <v>795</v>
      </c>
      <c r="D127" s="386" t="s">
        <v>1145</v>
      </c>
      <c r="E127" s="525" t="s">
        <v>1262</v>
      </c>
      <c r="F127" s="386" t="s">
        <v>797</v>
      </c>
      <c r="G127" s="386" t="s">
        <v>1317</v>
      </c>
      <c r="H127" s="381">
        <v>2</v>
      </c>
      <c r="I127" s="381">
        <v>10</v>
      </c>
      <c r="J127" s="381">
        <f t="shared" si="9"/>
        <v>2</v>
      </c>
      <c r="K127" s="633">
        <f t="shared" si="10"/>
        <v>20</v>
      </c>
      <c r="L127" s="634">
        <f>IFERROR(IF(B127="funkcna poziadavka",VLOOKUP(G127,MODULY_CBA!$B$3:$E$23,4,0)*H127/SUMIFS($H$3:$H$197,$G$3:$G$197,G127,$B$3:$B$197,B127),),)</f>
        <v>0</v>
      </c>
      <c r="M127" s="633">
        <f>IFERROR(IF(B127="Funkcna poziadavka",VLOOKUP(G127,MODULY_CBA!$B$3:$E$23,3,0),),)</f>
        <v>0.99499999999999988</v>
      </c>
      <c r="N127" s="633">
        <f>IFERROR(IF(B127="funkcna poziadavka",VLOOKUP(G127,MODULY_CBA!$B$3:$E$23,2,0),),)</f>
        <v>0.99</v>
      </c>
      <c r="O127" s="634">
        <f t="shared" si="11"/>
        <v>19.700999999999997</v>
      </c>
      <c r="P127" s="635">
        <f>IFERROR(O127*VLOOKUP(G127,MODULY_CBA!$B$3:$F$23,5,0),)</f>
        <v>591.02999999999986</v>
      </c>
      <c r="Q127" s="471" t="str">
        <f>IFERROR(VLOOKUP(G127,MODULY_CBA!$B$3:$I$23,6,0),"")</f>
        <v>Inkrement 3</v>
      </c>
      <c r="R127" s="385"/>
      <c r="S127" s="385"/>
      <c r="T127" s="385"/>
      <c r="U127" s="385"/>
      <c r="V127" s="388"/>
      <c r="W127" s="378"/>
      <c r="X127" s="378"/>
      <c r="Y127" s="385"/>
      <c r="Z127" s="385"/>
      <c r="AA127" s="385"/>
      <c r="AB127" s="385"/>
      <c r="AC127" s="385"/>
      <c r="AD127" s="385"/>
      <c r="AE127" s="385"/>
      <c r="AF127" s="390"/>
      <c r="AG127" s="389"/>
    </row>
    <row r="128" spans="1:33" s="387" customFormat="1" ht="38.25">
      <c r="A128" s="393" t="s">
        <v>1010</v>
      </c>
      <c r="B128" s="393" t="s">
        <v>739</v>
      </c>
      <c r="C128" s="524" t="s">
        <v>794</v>
      </c>
      <c r="D128" s="386" t="s">
        <v>1146</v>
      </c>
      <c r="E128" s="525" t="s">
        <v>1263</v>
      </c>
      <c r="F128" s="386" t="s">
        <v>797</v>
      </c>
      <c r="G128" s="386" t="s">
        <v>1318</v>
      </c>
      <c r="H128" s="381">
        <v>2</v>
      </c>
      <c r="I128" s="381">
        <v>10</v>
      </c>
      <c r="J128" s="381">
        <f t="shared" si="9"/>
        <v>2</v>
      </c>
      <c r="K128" s="633">
        <f t="shared" si="10"/>
        <v>20</v>
      </c>
      <c r="L128" s="634">
        <f>IFERROR(IF(B128="funkcna poziadavka",VLOOKUP(G128,MODULY_CBA!$B$3:$E$23,4,0)*H128/SUMIFS($H$3:$H$197,$G$3:$G$197,G128,$B$3:$B$197,B128),),)</f>
        <v>0</v>
      </c>
      <c r="M128" s="633">
        <f>IFERROR(IF(B128="Funkcna poziadavka",VLOOKUP(G128,MODULY_CBA!$B$3:$E$23,3,0),),)</f>
        <v>0.99499999999999988</v>
      </c>
      <c r="N128" s="633">
        <f>IFERROR(IF(B128="funkcna poziadavka",VLOOKUP(G128,MODULY_CBA!$B$3:$E$23,2,0),),)</f>
        <v>0.99</v>
      </c>
      <c r="O128" s="634">
        <f t="shared" si="11"/>
        <v>19.700999999999997</v>
      </c>
      <c r="P128" s="635">
        <f>IFERROR(O128*VLOOKUP(G128,MODULY_CBA!$B$3:$F$23,5,0),)</f>
        <v>591.02999999999986</v>
      </c>
      <c r="Q128" s="471" t="str">
        <f>IFERROR(VLOOKUP(G128,MODULY_CBA!$B$3:$I$23,6,0),"")</f>
        <v>Inkrement 3</v>
      </c>
      <c r="R128" s="385"/>
      <c r="S128" s="385"/>
      <c r="T128" s="385"/>
      <c r="U128" s="385"/>
      <c r="V128" s="388"/>
      <c r="W128" s="378"/>
      <c r="X128" s="378"/>
      <c r="Y128" s="385"/>
      <c r="Z128" s="385"/>
      <c r="AA128" s="385"/>
      <c r="AB128" s="385"/>
      <c r="AC128" s="385"/>
      <c r="AD128" s="385"/>
      <c r="AE128" s="385"/>
      <c r="AF128" s="390"/>
      <c r="AG128" s="389"/>
    </row>
    <row r="129" spans="1:33" s="387" customFormat="1" ht="38.25">
      <c r="A129" s="393" t="s">
        <v>1011</v>
      </c>
      <c r="B129" s="393" t="s">
        <v>739</v>
      </c>
      <c r="C129" s="524" t="s">
        <v>794</v>
      </c>
      <c r="D129" s="386" t="s">
        <v>1147</v>
      </c>
      <c r="E129" s="525" t="s">
        <v>1264</v>
      </c>
      <c r="F129" s="386" t="s">
        <v>797</v>
      </c>
      <c r="G129" s="386" t="s">
        <v>1318</v>
      </c>
      <c r="H129" s="381">
        <v>2</v>
      </c>
      <c r="I129" s="381">
        <v>10</v>
      </c>
      <c r="J129" s="381">
        <f t="shared" si="9"/>
        <v>2</v>
      </c>
      <c r="K129" s="633">
        <f t="shared" si="10"/>
        <v>20</v>
      </c>
      <c r="L129" s="634">
        <f>IFERROR(IF(B129="funkcna poziadavka",VLOOKUP(G129,MODULY_CBA!$B$3:$E$23,4,0)*H129/SUMIFS($H$3:$H$197,$G$3:$G$197,G129,$B$3:$B$197,B129),),)</f>
        <v>0</v>
      </c>
      <c r="M129" s="633">
        <f>IFERROR(IF(B129="Funkcna poziadavka",VLOOKUP(G129,MODULY_CBA!$B$3:$E$23,3,0),),)</f>
        <v>0.99499999999999988</v>
      </c>
      <c r="N129" s="633">
        <f>IFERROR(IF(B129="funkcna poziadavka",VLOOKUP(G129,MODULY_CBA!$B$3:$E$23,2,0),),)</f>
        <v>0.99</v>
      </c>
      <c r="O129" s="634">
        <f t="shared" si="11"/>
        <v>19.700999999999997</v>
      </c>
      <c r="P129" s="635">
        <f>IFERROR(O129*VLOOKUP(G129,MODULY_CBA!$B$3:$F$23,5,0),)</f>
        <v>591.02999999999986</v>
      </c>
      <c r="Q129" s="471" t="str">
        <f>IFERROR(VLOOKUP(G129,MODULY_CBA!$B$3:$I$23,6,0),"")</f>
        <v>Inkrement 3</v>
      </c>
      <c r="R129" s="385"/>
      <c r="S129" s="385"/>
      <c r="T129" s="385"/>
      <c r="U129" s="385"/>
      <c r="V129" s="388"/>
      <c r="W129" s="378"/>
      <c r="X129" s="378"/>
      <c r="Y129" s="385"/>
      <c r="Z129" s="385"/>
      <c r="AA129" s="385"/>
      <c r="AB129" s="385"/>
      <c r="AC129" s="385"/>
      <c r="AD129" s="385"/>
      <c r="AE129" s="385"/>
      <c r="AF129" s="390"/>
      <c r="AG129" s="389"/>
    </row>
    <row r="130" spans="1:33" s="387" customFormat="1" ht="38.25">
      <c r="A130" s="393" t="s">
        <v>1012</v>
      </c>
      <c r="B130" s="393" t="s">
        <v>739</v>
      </c>
      <c r="C130" s="524" t="s">
        <v>794</v>
      </c>
      <c r="D130" s="386" t="s">
        <v>1148</v>
      </c>
      <c r="E130" s="525" t="s">
        <v>1265</v>
      </c>
      <c r="F130" s="386" t="s">
        <v>797</v>
      </c>
      <c r="G130" s="386" t="s">
        <v>1318</v>
      </c>
      <c r="H130" s="381">
        <v>2</v>
      </c>
      <c r="I130" s="381">
        <v>10</v>
      </c>
      <c r="J130" s="381">
        <f t="shared" si="9"/>
        <v>2</v>
      </c>
      <c r="K130" s="633">
        <f t="shared" si="10"/>
        <v>20</v>
      </c>
      <c r="L130" s="634">
        <f>IFERROR(IF(B130="funkcna poziadavka",VLOOKUP(G130,MODULY_CBA!$B$3:$E$23,4,0)*H130/SUMIFS($H$3:$H$197,$G$3:$G$197,G130,$B$3:$B$197,B130),),)</f>
        <v>0</v>
      </c>
      <c r="M130" s="633">
        <f>IFERROR(IF(B130="Funkcna poziadavka",VLOOKUP(G130,MODULY_CBA!$B$3:$E$23,3,0),),)</f>
        <v>0.99499999999999988</v>
      </c>
      <c r="N130" s="633">
        <f>IFERROR(IF(B130="funkcna poziadavka",VLOOKUP(G130,MODULY_CBA!$B$3:$E$23,2,0),),)</f>
        <v>0.99</v>
      </c>
      <c r="O130" s="634">
        <f t="shared" si="11"/>
        <v>19.700999999999997</v>
      </c>
      <c r="P130" s="635">
        <f>IFERROR(O130*VLOOKUP(G130,MODULY_CBA!$B$3:$F$23,5,0),)</f>
        <v>591.02999999999986</v>
      </c>
      <c r="Q130" s="471" t="str">
        <f>IFERROR(VLOOKUP(G130,MODULY_CBA!$B$3:$I$23,6,0),"")</f>
        <v>Inkrement 3</v>
      </c>
      <c r="R130" s="385"/>
      <c r="S130" s="385"/>
      <c r="T130" s="385"/>
      <c r="U130" s="385"/>
      <c r="V130" s="388"/>
      <c r="W130" s="378"/>
      <c r="X130" s="378"/>
      <c r="Y130" s="385"/>
      <c r="Z130" s="385"/>
      <c r="AA130" s="385"/>
      <c r="AB130" s="385"/>
      <c r="AC130" s="385"/>
      <c r="AD130" s="385"/>
      <c r="AE130" s="385"/>
      <c r="AF130" s="390"/>
      <c r="AG130" s="389"/>
    </row>
    <row r="131" spans="1:33" s="387" customFormat="1" ht="38.25">
      <c r="A131" s="393" t="s">
        <v>1013</v>
      </c>
      <c r="B131" s="393" t="s">
        <v>739</v>
      </c>
      <c r="C131" s="524" t="s">
        <v>794</v>
      </c>
      <c r="D131" s="386" t="s">
        <v>1149</v>
      </c>
      <c r="E131" s="525" t="s">
        <v>1266</v>
      </c>
      <c r="F131" s="386" t="s">
        <v>797</v>
      </c>
      <c r="G131" s="386" t="s">
        <v>1318</v>
      </c>
      <c r="H131" s="381">
        <v>2</v>
      </c>
      <c r="I131" s="381">
        <v>10</v>
      </c>
      <c r="J131" s="381">
        <f t="shared" si="9"/>
        <v>2</v>
      </c>
      <c r="K131" s="633">
        <f t="shared" si="10"/>
        <v>20</v>
      </c>
      <c r="L131" s="634">
        <f>IFERROR(IF(B131="funkcna poziadavka",VLOOKUP(G131,MODULY_CBA!$B$3:$E$23,4,0)*H131/SUMIFS($H$3:$H$197,$G$3:$G$197,G131,$B$3:$B$197,B131),),)</f>
        <v>0</v>
      </c>
      <c r="M131" s="633">
        <f>IFERROR(IF(B131="Funkcna poziadavka",VLOOKUP(G131,MODULY_CBA!$B$3:$E$23,3,0),),)</f>
        <v>0.99499999999999988</v>
      </c>
      <c r="N131" s="633">
        <f>IFERROR(IF(B131="funkcna poziadavka",VLOOKUP(G131,MODULY_CBA!$B$3:$E$23,2,0),),)</f>
        <v>0.99</v>
      </c>
      <c r="O131" s="634">
        <f t="shared" si="11"/>
        <v>19.700999999999997</v>
      </c>
      <c r="P131" s="635">
        <f>IFERROR(O131*VLOOKUP(G131,MODULY_CBA!$B$3:$F$23,5,0),)</f>
        <v>591.02999999999986</v>
      </c>
      <c r="Q131" s="471" t="str">
        <f>IFERROR(VLOOKUP(G131,MODULY_CBA!$B$3:$I$23,6,0),"")</f>
        <v>Inkrement 3</v>
      </c>
      <c r="R131" s="385"/>
      <c r="S131" s="385"/>
      <c r="T131" s="385"/>
      <c r="U131" s="385"/>
      <c r="V131" s="388"/>
      <c r="W131" s="378"/>
      <c r="X131" s="378"/>
      <c r="Y131" s="385"/>
      <c r="Z131" s="385"/>
      <c r="AA131" s="385"/>
      <c r="AB131" s="385"/>
      <c r="AC131" s="385"/>
      <c r="AD131" s="385"/>
      <c r="AE131" s="385"/>
      <c r="AF131" s="390"/>
      <c r="AG131" s="389"/>
    </row>
    <row r="132" spans="1:33" s="387" customFormat="1" ht="38.25">
      <c r="A132" s="393" t="s">
        <v>1014</v>
      </c>
      <c r="B132" s="393" t="s">
        <v>739</v>
      </c>
      <c r="C132" s="524" t="s">
        <v>794</v>
      </c>
      <c r="D132" s="386" t="s">
        <v>1150</v>
      </c>
      <c r="E132" s="525" t="s">
        <v>1267</v>
      </c>
      <c r="F132" s="386" t="s">
        <v>797</v>
      </c>
      <c r="G132" s="386" t="s">
        <v>1318</v>
      </c>
      <c r="H132" s="381">
        <v>2</v>
      </c>
      <c r="I132" s="381">
        <v>10</v>
      </c>
      <c r="J132" s="381">
        <f t="shared" si="9"/>
        <v>2</v>
      </c>
      <c r="K132" s="633">
        <f t="shared" si="10"/>
        <v>20</v>
      </c>
      <c r="L132" s="634">
        <f>IFERROR(IF(B132="funkcna poziadavka",VLOOKUP(G132,MODULY_CBA!$B$3:$E$23,4,0)*H132/SUMIFS($H$3:$H$197,$G$3:$G$197,G132,$B$3:$B$197,B132),),)</f>
        <v>0</v>
      </c>
      <c r="M132" s="633">
        <f>IFERROR(IF(B132="Funkcna poziadavka",VLOOKUP(G132,MODULY_CBA!$B$3:$E$23,3,0),),)</f>
        <v>0.99499999999999988</v>
      </c>
      <c r="N132" s="633">
        <f>IFERROR(IF(B132="funkcna poziadavka",VLOOKUP(G132,MODULY_CBA!$B$3:$E$23,2,0),),)</f>
        <v>0.99</v>
      </c>
      <c r="O132" s="634">
        <f t="shared" si="11"/>
        <v>19.700999999999997</v>
      </c>
      <c r="P132" s="635">
        <f>IFERROR(O132*VLOOKUP(G132,MODULY_CBA!$B$3:$F$23,5,0),)</f>
        <v>591.02999999999986</v>
      </c>
      <c r="Q132" s="471" t="str">
        <f>IFERROR(VLOOKUP(G132,MODULY_CBA!$B$3:$I$23,6,0),"")</f>
        <v>Inkrement 3</v>
      </c>
      <c r="R132" s="385"/>
      <c r="S132" s="385"/>
      <c r="T132" s="385"/>
      <c r="U132" s="385"/>
      <c r="V132" s="388"/>
      <c r="W132" s="378"/>
      <c r="X132" s="378"/>
      <c r="Y132" s="385"/>
      <c r="Z132" s="385"/>
      <c r="AA132" s="385"/>
      <c r="AB132" s="385"/>
      <c r="AC132" s="385"/>
      <c r="AD132" s="385"/>
      <c r="AE132" s="385"/>
      <c r="AF132" s="390"/>
      <c r="AG132" s="389"/>
    </row>
    <row r="133" spans="1:33" s="387" customFormat="1" ht="38.25">
      <c r="A133" s="393" t="s">
        <v>1015</v>
      </c>
      <c r="B133" s="393" t="s">
        <v>739</v>
      </c>
      <c r="C133" s="524" t="s">
        <v>794</v>
      </c>
      <c r="D133" s="386" t="s">
        <v>1151</v>
      </c>
      <c r="E133" s="525" t="s">
        <v>1268</v>
      </c>
      <c r="F133" s="386" t="s">
        <v>797</v>
      </c>
      <c r="G133" s="386" t="s">
        <v>1318</v>
      </c>
      <c r="H133" s="381">
        <v>2</v>
      </c>
      <c r="I133" s="381">
        <v>10</v>
      </c>
      <c r="J133" s="381">
        <f t="shared" si="9"/>
        <v>2</v>
      </c>
      <c r="K133" s="633">
        <f t="shared" si="10"/>
        <v>20</v>
      </c>
      <c r="L133" s="634">
        <f>IFERROR(IF(B133="funkcna poziadavka",VLOOKUP(G133,MODULY_CBA!$B$3:$E$23,4,0)*H133/SUMIFS($H$3:$H$197,$G$3:$G$197,G133,$B$3:$B$197,B133),),)</f>
        <v>0</v>
      </c>
      <c r="M133" s="633">
        <f>IFERROR(IF(B133="Funkcna poziadavka",VLOOKUP(G133,MODULY_CBA!$B$3:$E$23,3,0),),)</f>
        <v>0.99499999999999988</v>
      </c>
      <c r="N133" s="633">
        <f>IFERROR(IF(B133="funkcna poziadavka",VLOOKUP(G133,MODULY_CBA!$B$3:$E$23,2,0),),)</f>
        <v>0.99</v>
      </c>
      <c r="O133" s="634">
        <f t="shared" si="11"/>
        <v>19.700999999999997</v>
      </c>
      <c r="P133" s="635">
        <f>IFERROR(O133*VLOOKUP(G133,MODULY_CBA!$B$3:$F$23,5,0),)</f>
        <v>591.02999999999986</v>
      </c>
      <c r="Q133" s="471" t="str">
        <f>IFERROR(VLOOKUP(G133,MODULY_CBA!$B$3:$I$23,6,0),"")</f>
        <v>Inkrement 3</v>
      </c>
      <c r="R133" s="385"/>
      <c r="S133" s="385"/>
      <c r="T133" s="385"/>
      <c r="U133" s="385"/>
      <c r="V133" s="388"/>
      <c r="W133" s="378"/>
      <c r="X133" s="378"/>
      <c r="Y133" s="385"/>
      <c r="Z133" s="385"/>
      <c r="AA133" s="385"/>
      <c r="AB133" s="385"/>
      <c r="AC133" s="385"/>
      <c r="AD133" s="385"/>
      <c r="AE133" s="385"/>
      <c r="AF133" s="390"/>
      <c r="AG133" s="389"/>
    </row>
    <row r="134" spans="1:33" s="387" customFormat="1" ht="38.25">
      <c r="A134" s="393" t="s">
        <v>1016</v>
      </c>
      <c r="B134" s="393" t="s">
        <v>739</v>
      </c>
      <c r="C134" s="524" t="s">
        <v>794</v>
      </c>
      <c r="D134" s="386" t="s">
        <v>1152</v>
      </c>
      <c r="E134" s="525" t="s">
        <v>1269</v>
      </c>
      <c r="F134" s="386" t="s">
        <v>797</v>
      </c>
      <c r="G134" s="386" t="s">
        <v>1318</v>
      </c>
      <c r="H134" s="381">
        <v>2</v>
      </c>
      <c r="I134" s="381">
        <v>10</v>
      </c>
      <c r="J134" s="381">
        <f t="shared" si="9"/>
        <v>2</v>
      </c>
      <c r="K134" s="633">
        <f t="shared" si="10"/>
        <v>20</v>
      </c>
      <c r="L134" s="634">
        <f>IFERROR(IF(B134="funkcna poziadavka",VLOOKUP(G134,MODULY_CBA!$B$3:$E$23,4,0)*H134/SUMIFS($H$3:$H$197,$G$3:$G$197,G134,$B$3:$B$197,B134),),)</f>
        <v>0</v>
      </c>
      <c r="M134" s="633">
        <f>IFERROR(IF(B134="Funkcna poziadavka",VLOOKUP(G134,MODULY_CBA!$B$3:$E$23,3,0),),)</f>
        <v>0.99499999999999988</v>
      </c>
      <c r="N134" s="633">
        <f>IFERROR(IF(B134="funkcna poziadavka",VLOOKUP(G134,MODULY_CBA!$B$3:$E$23,2,0),),)</f>
        <v>0.99</v>
      </c>
      <c r="O134" s="634">
        <f t="shared" si="11"/>
        <v>19.700999999999997</v>
      </c>
      <c r="P134" s="635">
        <f>IFERROR(O134*VLOOKUP(G134,MODULY_CBA!$B$3:$F$23,5,0),)</f>
        <v>591.02999999999986</v>
      </c>
      <c r="Q134" s="471" t="str">
        <f>IFERROR(VLOOKUP(G134,MODULY_CBA!$B$3:$I$23,6,0),"")</f>
        <v>Inkrement 3</v>
      </c>
      <c r="R134" s="385"/>
      <c r="S134" s="385"/>
      <c r="T134" s="385"/>
      <c r="U134" s="385"/>
      <c r="V134" s="388"/>
      <c r="W134" s="378"/>
      <c r="X134" s="378"/>
      <c r="Y134" s="385"/>
      <c r="Z134" s="385"/>
      <c r="AA134" s="385"/>
      <c r="AB134" s="385"/>
      <c r="AC134" s="385"/>
      <c r="AD134" s="385"/>
      <c r="AE134" s="385"/>
      <c r="AF134" s="390"/>
      <c r="AG134" s="389"/>
    </row>
    <row r="135" spans="1:33" s="387" customFormat="1" ht="38.25">
      <c r="A135" s="393" t="s">
        <v>1017</v>
      </c>
      <c r="B135" s="393" t="s">
        <v>739</v>
      </c>
      <c r="C135" s="524" t="s">
        <v>794</v>
      </c>
      <c r="D135" s="386" t="s">
        <v>1153</v>
      </c>
      <c r="E135" s="525" t="s">
        <v>1270</v>
      </c>
      <c r="F135" s="386" t="s">
        <v>797</v>
      </c>
      <c r="G135" s="386" t="s">
        <v>1318</v>
      </c>
      <c r="H135" s="381">
        <v>1</v>
      </c>
      <c r="I135" s="381">
        <v>10</v>
      </c>
      <c r="J135" s="381">
        <f t="shared" si="9"/>
        <v>1</v>
      </c>
      <c r="K135" s="633">
        <f t="shared" si="10"/>
        <v>10</v>
      </c>
      <c r="L135" s="634">
        <f>IFERROR(IF(B135="funkcna poziadavka",VLOOKUP(G135,MODULY_CBA!$B$3:$E$23,4,0)*H135/SUMIFS($H$3:$H$197,$G$3:$G$197,G135,$B$3:$B$197,B135),),)</f>
        <v>0</v>
      </c>
      <c r="M135" s="633">
        <f>IFERROR(IF(B135="Funkcna poziadavka",VLOOKUP(G135,MODULY_CBA!$B$3:$E$23,3,0),),)</f>
        <v>0.99499999999999988</v>
      </c>
      <c r="N135" s="633">
        <f>IFERROR(IF(B135="funkcna poziadavka",VLOOKUP(G135,MODULY_CBA!$B$3:$E$23,2,0),),)</f>
        <v>0.99</v>
      </c>
      <c r="O135" s="634">
        <f t="shared" si="11"/>
        <v>9.8504999999999985</v>
      </c>
      <c r="P135" s="635">
        <f>IFERROR(O135*VLOOKUP(G135,MODULY_CBA!$B$3:$F$23,5,0),)</f>
        <v>295.51499999999993</v>
      </c>
      <c r="Q135" s="471" t="str">
        <f>IFERROR(VLOOKUP(G135,MODULY_CBA!$B$3:$I$23,6,0),"")</f>
        <v>Inkrement 3</v>
      </c>
      <c r="R135" s="385"/>
      <c r="S135" s="385"/>
      <c r="T135" s="385"/>
      <c r="U135" s="385"/>
      <c r="V135" s="388"/>
      <c r="W135" s="378"/>
      <c r="X135" s="378"/>
      <c r="Y135" s="385"/>
      <c r="Z135" s="385"/>
      <c r="AA135" s="385"/>
      <c r="AB135" s="385"/>
      <c r="AC135" s="385"/>
      <c r="AD135" s="385"/>
      <c r="AE135" s="385"/>
      <c r="AF135" s="390"/>
      <c r="AG135" s="389"/>
    </row>
    <row r="136" spans="1:33" s="387" customFormat="1" ht="38.25">
      <c r="A136" s="393" t="s">
        <v>1018</v>
      </c>
      <c r="B136" s="393" t="s">
        <v>739</v>
      </c>
      <c r="C136" s="524" t="s">
        <v>794</v>
      </c>
      <c r="D136" s="386" t="s">
        <v>1154</v>
      </c>
      <c r="E136" s="525" t="s">
        <v>1271</v>
      </c>
      <c r="F136" s="386" t="s">
        <v>797</v>
      </c>
      <c r="G136" s="386" t="s">
        <v>1319</v>
      </c>
      <c r="H136" s="381">
        <v>2</v>
      </c>
      <c r="I136" s="381">
        <v>10</v>
      </c>
      <c r="J136" s="381">
        <f t="shared" si="9"/>
        <v>2</v>
      </c>
      <c r="K136" s="633">
        <f t="shared" si="10"/>
        <v>20</v>
      </c>
      <c r="L136" s="634">
        <f>IFERROR(IF(B136="funkcna poziadavka",VLOOKUP(G136,MODULY_CBA!$B$3:$E$23,4,0)*H136/SUMIFS($H$3:$H$197,$G$3:$G$197,G136,$B$3:$B$197,B136),),)</f>
        <v>0</v>
      </c>
      <c r="M136" s="633">
        <f>IFERROR(IF(B136="Funkcna poziadavka",VLOOKUP(G136,MODULY_CBA!$B$3:$E$23,3,0),),)</f>
        <v>0.99499999999999988</v>
      </c>
      <c r="N136" s="633">
        <f>IFERROR(IF(B136="funkcna poziadavka",VLOOKUP(G136,MODULY_CBA!$B$3:$E$23,2,0),),)</f>
        <v>0.99</v>
      </c>
      <c r="O136" s="634">
        <f t="shared" si="11"/>
        <v>19.700999999999997</v>
      </c>
      <c r="P136" s="635">
        <f>IFERROR(O136*VLOOKUP(G136,MODULY_CBA!$B$3:$F$23,5,0),)</f>
        <v>591.02999999999986</v>
      </c>
      <c r="Q136" s="471" t="str">
        <f>IFERROR(VLOOKUP(G136,MODULY_CBA!$B$3:$I$23,6,0),"")</f>
        <v>Inkrement 3</v>
      </c>
      <c r="R136" s="385"/>
      <c r="S136" s="385"/>
      <c r="T136" s="385"/>
      <c r="U136" s="385"/>
      <c r="V136" s="388"/>
      <c r="W136" s="378"/>
      <c r="X136" s="378"/>
      <c r="Y136" s="385"/>
      <c r="Z136" s="385"/>
      <c r="AA136" s="385"/>
      <c r="AB136" s="385"/>
      <c r="AC136" s="385"/>
      <c r="AD136" s="385"/>
      <c r="AE136" s="385"/>
      <c r="AF136" s="390"/>
      <c r="AG136" s="389"/>
    </row>
    <row r="137" spans="1:33" s="387" customFormat="1" ht="38.25">
      <c r="A137" s="393" t="s">
        <v>1019</v>
      </c>
      <c r="B137" s="393" t="s">
        <v>739</v>
      </c>
      <c r="C137" s="524" t="s">
        <v>794</v>
      </c>
      <c r="D137" s="386" t="s">
        <v>1155</v>
      </c>
      <c r="E137" s="525" t="s">
        <v>1272</v>
      </c>
      <c r="F137" s="386" t="s">
        <v>797</v>
      </c>
      <c r="G137" s="386" t="s">
        <v>1319</v>
      </c>
      <c r="H137" s="381">
        <v>2</v>
      </c>
      <c r="I137" s="381">
        <v>15</v>
      </c>
      <c r="J137" s="381">
        <f t="shared" si="9"/>
        <v>2</v>
      </c>
      <c r="K137" s="633">
        <f t="shared" si="10"/>
        <v>30</v>
      </c>
      <c r="L137" s="634">
        <f>IFERROR(IF(B137="funkcna poziadavka",VLOOKUP(G137,MODULY_CBA!$B$3:$E$23,4,0)*H137/SUMIFS($H$3:$H$197,$G$3:$G$197,G137,$B$3:$B$197,B137),),)</f>
        <v>0</v>
      </c>
      <c r="M137" s="633">
        <f>IFERROR(IF(B137="Funkcna poziadavka",VLOOKUP(G137,MODULY_CBA!$B$3:$E$23,3,0),),)</f>
        <v>0.99499999999999988</v>
      </c>
      <c r="N137" s="633">
        <f>IFERROR(IF(B137="funkcna poziadavka",VLOOKUP(G137,MODULY_CBA!$B$3:$E$23,2,0),),)</f>
        <v>0.99</v>
      </c>
      <c r="O137" s="634">
        <f t="shared" si="11"/>
        <v>29.551499999999997</v>
      </c>
      <c r="P137" s="635">
        <f>IFERROR(O137*VLOOKUP(G137,MODULY_CBA!$B$3:$F$23,5,0),)</f>
        <v>886.54499999999996</v>
      </c>
      <c r="Q137" s="471" t="str">
        <f>IFERROR(VLOOKUP(G137,MODULY_CBA!$B$3:$I$23,6,0),"")</f>
        <v>Inkrement 3</v>
      </c>
      <c r="R137" s="385"/>
      <c r="S137" s="385"/>
      <c r="T137" s="385"/>
      <c r="U137" s="385"/>
      <c r="V137" s="388"/>
      <c r="W137" s="378"/>
      <c r="X137" s="378"/>
      <c r="Y137" s="385"/>
      <c r="Z137" s="385"/>
      <c r="AA137" s="385"/>
      <c r="AB137" s="385"/>
      <c r="AC137" s="385"/>
      <c r="AD137" s="385"/>
      <c r="AE137" s="385"/>
      <c r="AF137" s="390"/>
      <c r="AG137" s="389"/>
    </row>
    <row r="138" spans="1:33" s="387" customFormat="1" ht="38.25">
      <c r="A138" s="393" t="s">
        <v>1020</v>
      </c>
      <c r="B138" s="393" t="s">
        <v>739</v>
      </c>
      <c r="C138" s="524" t="s">
        <v>794</v>
      </c>
      <c r="D138" s="386" t="s">
        <v>1156</v>
      </c>
      <c r="E138" s="525" t="s">
        <v>1273</v>
      </c>
      <c r="F138" s="386" t="s">
        <v>797</v>
      </c>
      <c r="G138" s="386" t="s">
        <v>1319</v>
      </c>
      <c r="H138" s="381">
        <v>2</v>
      </c>
      <c r="I138" s="381">
        <v>15</v>
      </c>
      <c r="J138" s="381">
        <f t="shared" si="9"/>
        <v>2</v>
      </c>
      <c r="K138" s="633">
        <f t="shared" si="10"/>
        <v>30</v>
      </c>
      <c r="L138" s="634">
        <f>IFERROR(IF(B138="funkcna poziadavka",VLOOKUP(G138,MODULY_CBA!$B$3:$E$23,4,0)*H138/SUMIFS($H$3:$H$197,$G$3:$G$197,G138,$B$3:$B$197,B138),),)</f>
        <v>0</v>
      </c>
      <c r="M138" s="633">
        <f>IFERROR(IF(B138="Funkcna poziadavka",VLOOKUP(G138,MODULY_CBA!$B$3:$E$23,3,0),),)</f>
        <v>0.99499999999999988</v>
      </c>
      <c r="N138" s="633">
        <f>IFERROR(IF(B138="funkcna poziadavka",VLOOKUP(G138,MODULY_CBA!$B$3:$E$23,2,0),),)</f>
        <v>0.99</v>
      </c>
      <c r="O138" s="634">
        <f t="shared" si="11"/>
        <v>29.551499999999997</v>
      </c>
      <c r="P138" s="635">
        <f>IFERROR(O138*VLOOKUP(G138,MODULY_CBA!$B$3:$F$23,5,0),)</f>
        <v>886.54499999999996</v>
      </c>
      <c r="Q138" s="471" t="str">
        <f>IFERROR(VLOOKUP(G138,MODULY_CBA!$B$3:$I$23,6,0),"")</f>
        <v>Inkrement 3</v>
      </c>
      <c r="R138" s="385"/>
      <c r="S138" s="385"/>
      <c r="T138" s="385"/>
      <c r="U138" s="385"/>
      <c r="V138" s="388"/>
      <c r="W138" s="378"/>
      <c r="X138" s="378"/>
      <c r="Y138" s="385"/>
      <c r="Z138" s="385"/>
      <c r="AA138" s="385"/>
      <c r="AB138" s="385"/>
      <c r="AC138" s="385"/>
      <c r="AD138" s="385"/>
      <c r="AE138" s="385"/>
      <c r="AF138" s="390"/>
      <c r="AG138" s="389"/>
    </row>
    <row r="139" spans="1:33" s="387" customFormat="1" ht="38.25">
      <c r="A139" s="393" t="s">
        <v>1021</v>
      </c>
      <c r="B139" s="393" t="s">
        <v>739</v>
      </c>
      <c r="C139" s="524" t="s">
        <v>794</v>
      </c>
      <c r="D139" s="386" t="s">
        <v>1157</v>
      </c>
      <c r="E139" s="525" t="s">
        <v>1274</v>
      </c>
      <c r="F139" s="386" t="s">
        <v>797</v>
      </c>
      <c r="G139" s="386" t="s">
        <v>1319</v>
      </c>
      <c r="H139" s="381">
        <v>2</v>
      </c>
      <c r="I139" s="381">
        <v>15</v>
      </c>
      <c r="J139" s="381">
        <f t="shared" si="9"/>
        <v>2</v>
      </c>
      <c r="K139" s="633">
        <f t="shared" si="10"/>
        <v>30</v>
      </c>
      <c r="L139" s="634">
        <f>IFERROR(IF(B139="funkcna poziadavka",VLOOKUP(G139,MODULY_CBA!$B$3:$E$23,4,0)*H139/SUMIFS($H$3:$H$197,$G$3:$G$197,G139,$B$3:$B$197,B139),),)</f>
        <v>0</v>
      </c>
      <c r="M139" s="633">
        <f>IFERROR(IF(B139="Funkcna poziadavka",VLOOKUP(G139,MODULY_CBA!$B$3:$E$23,3,0),),)</f>
        <v>0.99499999999999988</v>
      </c>
      <c r="N139" s="633">
        <f>IFERROR(IF(B139="funkcna poziadavka",VLOOKUP(G139,MODULY_CBA!$B$3:$E$23,2,0),),)</f>
        <v>0.99</v>
      </c>
      <c r="O139" s="634">
        <f t="shared" si="11"/>
        <v>29.551499999999997</v>
      </c>
      <c r="P139" s="635">
        <f>IFERROR(O139*VLOOKUP(G139,MODULY_CBA!$B$3:$F$23,5,0),)</f>
        <v>886.54499999999996</v>
      </c>
      <c r="Q139" s="471" t="str">
        <f>IFERROR(VLOOKUP(G139,MODULY_CBA!$B$3:$I$23,6,0),"")</f>
        <v>Inkrement 3</v>
      </c>
      <c r="R139" s="385"/>
      <c r="S139" s="385"/>
      <c r="T139" s="385"/>
      <c r="U139" s="385"/>
      <c r="V139" s="388"/>
      <c r="W139" s="378"/>
      <c r="X139" s="378"/>
      <c r="Y139" s="385"/>
      <c r="Z139" s="385"/>
      <c r="AA139" s="385"/>
      <c r="AB139" s="385"/>
      <c r="AC139" s="385"/>
      <c r="AD139" s="385"/>
      <c r="AE139" s="385"/>
      <c r="AF139" s="390"/>
      <c r="AG139" s="389"/>
    </row>
    <row r="140" spans="1:33" s="387" customFormat="1" ht="38.25">
      <c r="A140" s="393" t="s">
        <v>1022</v>
      </c>
      <c r="B140" s="393" t="s">
        <v>739</v>
      </c>
      <c r="C140" s="524" t="s">
        <v>794</v>
      </c>
      <c r="D140" s="386" t="s">
        <v>1158</v>
      </c>
      <c r="E140" s="525" t="s">
        <v>1275</v>
      </c>
      <c r="F140" s="386" t="s">
        <v>797</v>
      </c>
      <c r="G140" s="386" t="s">
        <v>1319</v>
      </c>
      <c r="H140" s="381">
        <v>2</v>
      </c>
      <c r="I140" s="381">
        <v>15</v>
      </c>
      <c r="J140" s="381">
        <f t="shared" si="9"/>
        <v>2</v>
      </c>
      <c r="K140" s="633">
        <f t="shared" si="10"/>
        <v>30</v>
      </c>
      <c r="L140" s="634">
        <f>IFERROR(IF(B140="funkcna poziadavka",VLOOKUP(G140,MODULY_CBA!$B$3:$E$23,4,0)*H140/SUMIFS($H$3:$H$197,$G$3:$G$197,G140,$B$3:$B$197,B140),),)</f>
        <v>0</v>
      </c>
      <c r="M140" s="633">
        <f>IFERROR(IF(B140="Funkcna poziadavka",VLOOKUP(G140,MODULY_CBA!$B$3:$E$23,3,0),),)</f>
        <v>0.99499999999999988</v>
      </c>
      <c r="N140" s="633">
        <f>IFERROR(IF(B140="funkcna poziadavka",VLOOKUP(G140,MODULY_CBA!$B$3:$E$23,2,0),),)</f>
        <v>0.99</v>
      </c>
      <c r="O140" s="634">
        <f t="shared" si="11"/>
        <v>29.551499999999997</v>
      </c>
      <c r="P140" s="635">
        <f>IFERROR(O140*VLOOKUP(G140,MODULY_CBA!$B$3:$F$23,5,0),)</f>
        <v>886.54499999999996</v>
      </c>
      <c r="Q140" s="471" t="str">
        <f>IFERROR(VLOOKUP(G140,MODULY_CBA!$B$3:$I$23,6,0),"")</f>
        <v>Inkrement 3</v>
      </c>
      <c r="R140" s="385"/>
      <c r="S140" s="385"/>
      <c r="T140" s="385"/>
      <c r="U140" s="385"/>
      <c r="V140" s="388"/>
      <c r="W140" s="378"/>
      <c r="X140" s="378"/>
      <c r="Y140" s="385"/>
      <c r="Z140" s="385"/>
      <c r="AA140" s="385"/>
      <c r="AB140" s="385"/>
      <c r="AC140" s="385"/>
      <c r="AD140" s="385"/>
      <c r="AE140" s="385"/>
      <c r="AF140" s="390"/>
      <c r="AG140" s="389"/>
    </row>
    <row r="141" spans="1:33" s="387" customFormat="1" ht="51">
      <c r="A141" s="393" t="s">
        <v>1023</v>
      </c>
      <c r="B141" s="393" t="s">
        <v>739</v>
      </c>
      <c r="C141" s="524" t="s">
        <v>794</v>
      </c>
      <c r="D141" s="386" t="s">
        <v>1159</v>
      </c>
      <c r="E141" s="525" t="s">
        <v>1276</v>
      </c>
      <c r="F141" s="386" t="s">
        <v>797</v>
      </c>
      <c r="G141" s="386" t="s">
        <v>1319</v>
      </c>
      <c r="H141" s="381">
        <v>2</v>
      </c>
      <c r="I141" s="381">
        <v>15</v>
      </c>
      <c r="J141" s="381">
        <f t="shared" si="9"/>
        <v>2</v>
      </c>
      <c r="K141" s="633">
        <f t="shared" si="10"/>
        <v>30</v>
      </c>
      <c r="L141" s="634">
        <f>IFERROR(IF(B141="funkcna poziadavka",VLOOKUP(G141,MODULY_CBA!$B$3:$E$23,4,0)*H141/SUMIFS($H$3:$H$197,$G$3:$G$197,G141,$B$3:$B$197,B141),),)</f>
        <v>0</v>
      </c>
      <c r="M141" s="633">
        <f>IFERROR(IF(B141="Funkcna poziadavka",VLOOKUP(G141,MODULY_CBA!$B$3:$E$23,3,0),),)</f>
        <v>0.99499999999999988</v>
      </c>
      <c r="N141" s="633">
        <f>IFERROR(IF(B141="funkcna poziadavka",VLOOKUP(G141,MODULY_CBA!$B$3:$E$23,2,0),),)</f>
        <v>0.99</v>
      </c>
      <c r="O141" s="634">
        <f t="shared" si="11"/>
        <v>29.551499999999997</v>
      </c>
      <c r="P141" s="635">
        <f>IFERROR(O141*VLOOKUP(G141,MODULY_CBA!$B$3:$F$23,5,0),)</f>
        <v>886.54499999999996</v>
      </c>
      <c r="Q141" s="471" t="str">
        <f>IFERROR(VLOOKUP(G141,MODULY_CBA!$B$3:$I$23,6,0),"")</f>
        <v>Inkrement 3</v>
      </c>
      <c r="R141" s="385"/>
      <c r="S141" s="385"/>
      <c r="T141" s="385"/>
      <c r="U141" s="385"/>
      <c r="V141" s="388"/>
      <c r="W141" s="378"/>
      <c r="X141" s="378"/>
      <c r="Y141" s="385"/>
      <c r="Z141" s="385"/>
      <c r="AA141" s="385"/>
      <c r="AB141" s="385"/>
      <c r="AC141" s="385"/>
      <c r="AD141" s="385"/>
      <c r="AE141" s="385"/>
      <c r="AF141" s="390"/>
      <c r="AG141" s="389"/>
    </row>
    <row r="142" spans="1:33" s="387" customFormat="1" ht="51">
      <c r="A142" s="393" t="s">
        <v>1024</v>
      </c>
      <c r="B142" s="393" t="s">
        <v>739</v>
      </c>
      <c r="C142" s="524" t="s">
        <v>795</v>
      </c>
      <c r="D142" s="386" t="s">
        <v>1160</v>
      </c>
      <c r="E142" s="525" t="s">
        <v>1277</v>
      </c>
      <c r="F142" s="386" t="s">
        <v>797</v>
      </c>
      <c r="G142" s="386" t="s">
        <v>1320</v>
      </c>
      <c r="H142" s="381">
        <v>2</v>
      </c>
      <c r="I142" s="381">
        <v>10</v>
      </c>
      <c r="J142" s="381">
        <f t="shared" si="9"/>
        <v>2</v>
      </c>
      <c r="K142" s="633">
        <f t="shared" si="10"/>
        <v>20</v>
      </c>
      <c r="L142" s="634">
        <f>IFERROR(IF(B142="funkcna poziadavka",VLOOKUP(G142,MODULY_CBA!$B$3:$E$23,4,0)*H142/SUMIFS($H$3:$H$197,$G$3:$G$197,G142,$B$3:$B$197,B142),),)</f>
        <v>0</v>
      </c>
      <c r="M142" s="633">
        <f>IFERROR(IF(B142="Funkcna poziadavka",VLOOKUP(G142,MODULY_CBA!$B$3:$E$23,3,0),),)</f>
        <v>0.99499999999999988</v>
      </c>
      <c r="N142" s="633">
        <f>IFERROR(IF(B142="funkcna poziadavka",VLOOKUP(G142,MODULY_CBA!$B$3:$E$23,2,0),),)</f>
        <v>0.99</v>
      </c>
      <c r="O142" s="634">
        <f t="shared" si="11"/>
        <v>19.700999999999997</v>
      </c>
      <c r="P142" s="635">
        <f>IFERROR(O142*VLOOKUP(G142,MODULY_CBA!$B$3:$F$23,5,0),)</f>
        <v>591.02999999999986</v>
      </c>
      <c r="Q142" s="471" t="str">
        <f>IFERROR(VLOOKUP(G142,MODULY_CBA!$B$3:$I$23,6,0),"")</f>
        <v>Inkrement 3</v>
      </c>
      <c r="R142" s="385"/>
      <c r="S142" s="385"/>
      <c r="T142" s="385"/>
      <c r="U142" s="385"/>
      <c r="V142" s="388"/>
      <c r="W142" s="378"/>
      <c r="X142" s="378"/>
      <c r="Y142" s="385"/>
      <c r="Z142" s="385"/>
      <c r="AA142" s="385"/>
      <c r="AB142" s="385"/>
      <c r="AC142" s="385"/>
      <c r="AD142" s="385"/>
      <c r="AE142" s="385"/>
      <c r="AF142" s="390"/>
      <c r="AG142" s="389"/>
    </row>
    <row r="143" spans="1:33" s="387" customFormat="1" ht="38.25">
      <c r="A143" s="393" t="s">
        <v>1025</v>
      </c>
      <c r="B143" s="393" t="s">
        <v>739</v>
      </c>
      <c r="C143" s="524" t="s">
        <v>795</v>
      </c>
      <c r="D143" s="386" t="s">
        <v>1161</v>
      </c>
      <c r="E143" s="525" t="s">
        <v>1278</v>
      </c>
      <c r="F143" s="386" t="s">
        <v>797</v>
      </c>
      <c r="G143" s="386" t="s">
        <v>1320</v>
      </c>
      <c r="H143" s="381">
        <v>2</v>
      </c>
      <c r="I143" s="381">
        <v>10</v>
      </c>
      <c r="J143" s="381">
        <f t="shared" si="9"/>
        <v>2</v>
      </c>
      <c r="K143" s="633">
        <f t="shared" si="10"/>
        <v>20</v>
      </c>
      <c r="L143" s="634">
        <f>IFERROR(IF(B143="funkcna poziadavka",VLOOKUP(G143,MODULY_CBA!$B$3:$E$23,4,0)*H143/SUMIFS($H$3:$H$197,$G$3:$G$197,G143,$B$3:$B$197,B143),),)</f>
        <v>0</v>
      </c>
      <c r="M143" s="633">
        <f>IFERROR(IF(B143="Funkcna poziadavka",VLOOKUP(G143,MODULY_CBA!$B$3:$E$23,3,0),),)</f>
        <v>0.99499999999999988</v>
      </c>
      <c r="N143" s="633">
        <f>IFERROR(IF(B143="funkcna poziadavka",VLOOKUP(G143,MODULY_CBA!$B$3:$E$23,2,0),),)</f>
        <v>0.99</v>
      </c>
      <c r="O143" s="634">
        <f t="shared" si="11"/>
        <v>19.700999999999997</v>
      </c>
      <c r="P143" s="635">
        <f>IFERROR(O143*VLOOKUP(G143,MODULY_CBA!$B$3:$F$23,5,0),)</f>
        <v>591.02999999999986</v>
      </c>
      <c r="Q143" s="471" t="str">
        <f>IFERROR(VLOOKUP(G143,MODULY_CBA!$B$3:$I$23,6,0),"")</f>
        <v>Inkrement 3</v>
      </c>
      <c r="R143" s="385"/>
      <c r="S143" s="385"/>
      <c r="T143" s="385"/>
      <c r="U143" s="385"/>
      <c r="V143" s="388"/>
      <c r="W143" s="378"/>
      <c r="X143" s="378"/>
      <c r="Y143" s="385"/>
      <c r="Z143" s="385"/>
      <c r="AA143" s="385"/>
      <c r="AB143" s="385"/>
      <c r="AC143" s="385"/>
      <c r="AD143" s="385"/>
      <c r="AE143" s="385"/>
      <c r="AF143" s="390"/>
      <c r="AG143" s="389"/>
    </row>
    <row r="144" spans="1:33" s="387" customFormat="1" ht="38.25">
      <c r="A144" s="393" t="s">
        <v>1026</v>
      </c>
      <c r="B144" s="393" t="s">
        <v>739</v>
      </c>
      <c r="C144" s="524" t="s">
        <v>795</v>
      </c>
      <c r="D144" s="386" t="s">
        <v>1162</v>
      </c>
      <c r="E144" s="525" t="s">
        <v>1279</v>
      </c>
      <c r="F144" s="386" t="s">
        <v>797</v>
      </c>
      <c r="G144" s="386" t="s">
        <v>1320</v>
      </c>
      <c r="H144" s="381">
        <v>2</v>
      </c>
      <c r="I144" s="381">
        <v>10</v>
      </c>
      <c r="J144" s="381">
        <f t="shared" si="9"/>
        <v>2</v>
      </c>
      <c r="K144" s="633">
        <f t="shared" si="10"/>
        <v>20</v>
      </c>
      <c r="L144" s="634">
        <f>IFERROR(IF(B144="funkcna poziadavka",VLOOKUP(G144,MODULY_CBA!$B$3:$E$23,4,0)*H144/SUMIFS($H$3:$H$197,$G$3:$G$197,G144,$B$3:$B$197,B144),),)</f>
        <v>0</v>
      </c>
      <c r="M144" s="633">
        <f>IFERROR(IF(B144="Funkcna poziadavka",VLOOKUP(G144,MODULY_CBA!$B$3:$E$23,3,0),),)</f>
        <v>0.99499999999999988</v>
      </c>
      <c r="N144" s="633">
        <f>IFERROR(IF(B144="funkcna poziadavka",VLOOKUP(G144,MODULY_CBA!$B$3:$E$23,2,0),),)</f>
        <v>0.99</v>
      </c>
      <c r="O144" s="634">
        <f t="shared" si="11"/>
        <v>19.700999999999997</v>
      </c>
      <c r="P144" s="635">
        <f>IFERROR(O144*VLOOKUP(G144,MODULY_CBA!$B$3:$F$23,5,0),)</f>
        <v>591.02999999999986</v>
      </c>
      <c r="Q144" s="471" t="str">
        <f>IFERROR(VLOOKUP(G144,MODULY_CBA!$B$3:$I$23,6,0),"")</f>
        <v>Inkrement 3</v>
      </c>
      <c r="R144" s="385"/>
      <c r="S144" s="385"/>
      <c r="T144" s="385"/>
      <c r="U144" s="385"/>
      <c r="V144" s="388"/>
      <c r="W144" s="378"/>
      <c r="X144" s="378"/>
      <c r="Y144" s="385"/>
      <c r="Z144" s="385"/>
      <c r="AA144" s="385"/>
      <c r="AB144" s="385"/>
      <c r="AC144" s="385"/>
      <c r="AD144" s="385"/>
      <c r="AE144" s="385"/>
      <c r="AF144" s="390"/>
      <c r="AG144" s="389"/>
    </row>
    <row r="145" spans="1:33" s="387" customFormat="1" ht="38.25">
      <c r="A145" s="393" t="s">
        <v>1027</v>
      </c>
      <c r="B145" s="393" t="s">
        <v>739</v>
      </c>
      <c r="C145" s="524" t="s">
        <v>795</v>
      </c>
      <c r="D145" s="386" t="s">
        <v>1163</v>
      </c>
      <c r="E145" s="525" t="s">
        <v>1280</v>
      </c>
      <c r="F145" s="386" t="s">
        <v>797</v>
      </c>
      <c r="G145" s="386" t="s">
        <v>1320</v>
      </c>
      <c r="H145" s="381">
        <v>2</v>
      </c>
      <c r="I145" s="381">
        <v>10</v>
      </c>
      <c r="J145" s="381">
        <f t="shared" si="9"/>
        <v>2</v>
      </c>
      <c r="K145" s="633">
        <f t="shared" si="10"/>
        <v>20</v>
      </c>
      <c r="L145" s="634">
        <f>IFERROR(IF(B145="funkcna poziadavka",VLOOKUP(G145,MODULY_CBA!$B$3:$E$23,4,0)*H145/SUMIFS($H$3:$H$197,$G$3:$G$197,G145,$B$3:$B$197,B145),),)</f>
        <v>0</v>
      </c>
      <c r="M145" s="633">
        <f>IFERROR(IF(B145="Funkcna poziadavka",VLOOKUP(G145,MODULY_CBA!$B$3:$E$23,3,0),),)</f>
        <v>0.99499999999999988</v>
      </c>
      <c r="N145" s="633">
        <f>IFERROR(IF(B145="funkcna poziadavka",VLOOKUP(G145,MODULY_CBA!$B$3:$E$23,2,0),),)</f>
        <v>0.99</v>
      </c>
      <c r="O145" s="634">
        <f t="shared" si="11"/>
        <v>19.700999999999997</v>
      </c>
      <c r="P145" s="635">
        <f>IFERROR(O145*VLOOKUP(G145,MODULY_CBA!$B$3:$F$23,5,0),)</f>
        <v>591.02999999999986</v>
      </c>
      <c r="Q145" s="471" t="str">
        <f>IFERROR(VLOOKUP(G145,MODULY_CBA!$B$3:$I$23,6,0),"")</f>
        <v>Inkrement 3</v>
      </c>
      <c r="R145" s="385"/>
      <c r="S145" s="385"/>
      <c r="T145" s="385"/>
      <c r="U145" s="385"/>
      <c r="V145" s="388"/>
      <c r="W145" s="378"/>
      <c r="X145" s="378"/>
      <c r="Y145" s="385"/>
      <c r="Z145" s="385"/>
      <c r="AA145" s="385"/>
      <c r="AB145" s="385"/>
      <c r="AC145" s="385"/>
      <c r="AD145" s="385"/>
      <c r="AE145" s="385"/>
      <c r="AF145" s="390"/>
      <c r="AG145" s="389"/>
    </row>
    <row r="146" spans="1:33" s="387" customFormat="1" ht="38.25">
      <c r="A146" s="393" t="s">
        <v>1028</v>
      </c>
      <c r="B146" s="393" t="s">
        <v>739</v>
      </c>
      <c r="C146" s="524" t="s">
        <v>795</v>
      </c>
      <c r="D146" s="386" t="s">
        <v>1164</v>
      </c>
      <c r="E146" s="525" t="s">
        <v>1281</v>
      </c>
      <c r="F146" s="386" t="s">
        <v>797</v>
      </c>
      <c r="G146" s="386" t="s">
        <v>1320</v>
      </c>
      <c r="H146" s="381">
        <v>2</v>
      </c>
      <c r="I146" s="381">
        <v>10</v>
      </c>
      <c r="J146" s="381">
        <f t="shared" si="9"/>
        <v>2</v>
      </c>
      <c r="K146" s="633">
        <f t="shared" si="10"/>
        <v>20</v>
      </c>
      <c r="L146" s="634">
        <f>IFERROR(IF(B146="funkcna poziadavka",VLOOKUP(G146,MODULY_CBA!$B$3:$E$23,4,0)*H146/SUMIFS($H$3:$H$197,$G$3:$G$197,G146,$B$3:$B$197,B146),),)</f>
        <v>0</v>
      </c>
      <c r="M146" s="633">
        <f>IFERROR(IF(B146="Funkcna poziadavka",VLOOKUP(G146,MODULY_CBA!$B$3:$E$23,3,0),),)</f>
        <v>0.99499999999999988</v>
      </c>
      <c r="N146" s="633">
        <f>IFERROR(IF(B146="funkcna poziadavka",VLOOKUP(G146,MODULY_CBA!$B$3:$E$23,2,0),),)</f>
        <v>0.99</v>
      </c>
      <c r="O146" s="634">
        <f t="shared" si="11"/>
        <v>19.700999999999997</v>
      </c>
      <c r="P146" s="635">
        <f>IFERROR(O146*VLOOKUP(G146,MODULY_CBA!$B$3:$F$23,5,0),)</f>
        <v>591.02999999999986</v>
      </c>
      <c r="Q146" s="471" t="str">
        <f>IFERROR(VLOOKUP(G146,MODULY_CBA!$B$3:$I$23,6,0),"")</f>
        <v>Inkrement 3</v>
      </c>
      <c r="R146" s="385"/>
      <c r="S146" s="385"/>
      <c r="T146" s="385"/>
      <c r="U146" s="385"/>
      <c r="V146" s="388"/>
      <c r="W146" s="378"/>
      <c r="X146" s="378"/>
      <c r="Y146" s="385"/>
      <c r="Z146" s="385"/>
      <c r="AA146" s="385"/>
      <c r="AB146" s="385"/>
      <c r="AC146" s="385"/>
      <c r="AD146" s="385"/>
      <c r="AE146" s="385"/>
      <c r="AF146" s="390"/>
      <c r="AG146" s="389"/>
    </row>
    <row r="147" spans="1:33" s="387" customFormat="1" ht="38.25">
      <c r="A147" s="393" t="s">
        <v>1029</v>
      </c>
      <c r="B147" s="393" t="s">
        <v>739</v>
      </c>
      <c r="C147" s="524" t="s">
        <v>795</v>
      </c>
      <c r="D147" s="386" t="s">
        <v>1165</v>
      </c>
      <c r="E147" s="525" t="s">
        <v>1282</v>
      </c>
      <c r="F147" s="386" t="s">
        <v>797</v>
      </c>
      <c r="G147" s="386" t="s">
        <v>1320</v>
      </c>
      <c r="H147" s="381">
        <v>2</v>
      </c>
      <c r="I147" s="381">
        <v>10</v>
      </c>
      <c r="J147" s="381">
        <f t="shared" ref="J147:J171" si="12">IF(ISNUMBER(H147),H147,)</f>
        <v>2</v>
      </c>
      <c r="K147" s="633">
        <f t="shared" ref="K147:K171" si="13">H147*I147</f>
        <v>20</v>
      </c>
      <c r="L147" s="634">
        <f>IFERROR(IF(B147="funkcna poziadavka",VLOOKUP(G147,MODULY_CBA!$B$3:$E$23,4,0)*H147/SUMIFS($H$3:$H$197,$G$3:$G$197,G147,$B$3:$B$197,B147),),)</f>
        <v>0</v>
      </c>
      <c r="M147" s="633">
        <f>IFERROR(IF(B147="Funkcna poziadavka",VLOOKUP(G147,MODULY_CBA!$B$3:$E$23,3,0),),)</f>
        <v>0.99499999999999988</v>
      </c>
      <c r="N147" s="633">
        <f>IFERROR(IF(B147="funkcna poziadavka",VLOOKUP(G147,MODULY_CBA!$B$3:$E$23,2,0),),)</f>
        <v>0.99</v>
      </c>
      <c r="O147" s="634">
        <f t="shared" ref="O147:O171" si="14">(I147+L147)*M147*N147*H147</f>
        <v>19.700999999999997</v>
      </c>
      <c r="P147" s="635">
        <f>IFERROR(O147*VLOOKUP(G147,MODULY_CBA!$B$3:$F$23,5,0),)</f>
        <v>591.02999999999986</v>
      </c>
      <c r="Q147" s="471" t="str">
        <f>IFERROR(VLOOKUP(G147,MODULY_CBA!$B$3:$I$23,6,0),"")</f>
        <v>Inkrement 3</v>
      </c>
      <c r="R147" s="385"/>
      <c r="S147" s="385"/>
      <c r="T147" s="385"/>
      <c r="U147" s="385"/>
      <c r="V147" s="388"/>
      <c r="W147" s="378"/>
      <c r="X147" s="378"/>
      <c r="Y147" s="385"/>
      <c r="Z147" s="385"/>
      <c r="AA147" s="385"/>
      <c r="AB147" s="385"/>
      <c r="AC147" s="385"/>
      <c r="AD147" s="385"/>
      <c r="AE147" s="385"/>
      <c r="AF147" s="390"/>
      <c r="AG147" s="389"/>
    </row>
    <row r="148" spans="1:33" s="387" customFormat="1" ht="51">
      <c r="A148" s="393" t="s">
        <v>1030</v>
      </c>
      <c r="B148" s="393" t="s">
        <v>739</v>
      </c>
      <c r="C148" s="524" t="s">
        <v>795</v>
      </c>
      <c r="D148" s="386" t="s">
        <v>1166</v>
      </c>
      <c r="E148" s="525" t="s">
        <v>1283</v>
      </c>
      <c r="F148" s="386" t="s">
        <v>797</v>
      </c>
      <c r="G148" s="386" t="s">
        <v>1320</v>
      </c>
      <c r="H148" s="381">
        <v>2</v>
      </c>
      <c r="I148" s="381">
        <v>10</v>
      </c>
      <c r="J148" s="381">
        <f t="shared" si="12"/>
        <v>2</v>
      </c>
      <c r="K148" s="633">
        <f t="shared" si="13"/>
        <v>20</v>
      </c>
      <c r="L148" s="634">
        <f>IFERROR(IF(B148="funkcna poziadavka",VLOOKUP(G148,MODULY_CBA!$B$3:$E$23,4,0)*H148/SUMIFS($H$3:$H$197,$G$3:$G$197,G148,$B$3:$B$197,B148),),)</f>
        <v>0</v>
      </c>
      <c r="M148" s="633">
        <f>IFERROR(IF(B148="Funkcna poziadavka",VLOOKUP(G148,MODULY_CBA!$B$3:$E$23,3,0),),)</f>
        <v>0.99499999999999988</v>
      </c>
      <c r="N148" s="633">
        <f>IFERROR(IF(B148="funkcna poziadavka",VLOOKUP(G148,MODULY_CBA!$B$3:$E$23,2,0),),)</f>
        <v>0.99</v>
      </c>
      <c r="O148" s="634">
        <f t="shared" si="14"/>
        <v>19.700999999999997</v>
      </c>
      <c r="P148" s="635">
        <f>IFERROR(O148*VLOOKUP(G148,MODULY_CBA!$B$3:$F$23,5,0),)</f>
        <v>591.02999999999986</v>
      </c>
      <c r="Q148" s="471" t="str">
        <f>IFERROR(VLOOKUP(G148,MODULY_CBA!$B$3:$I$23,6,0),"")</f>
        <v>Inkrement 3</v>
      </c>
      <c r="R148" s="385"/>
      <c r="S148" s="385"/>
      <c r="T148" s="385"/>
      <c r="U148" s="385"/>
      <c r="V148" s="388"/>
      <c r="W148" s="378"/>
      <c r="X148" s="378"/>
      <c r="Y148" s="385"/>
      <c r="Z148" s="385"/>
      <c r="AA148" s="385"/>
      <c r="AB148" s="385"/>
      <c r="AC148" s="385"/>
      <c r="AD148" s="385"/>
      <c r="AE148" s="385"/>
      <c r="AF148" s="390"/>
      <c r="AG148" s="389"/>
    </row>
    <row r="149" spans="1:33" s="387" customFormat="1" ht="38.25">
      <c r="A149" s="393" t="s">
        <v>1031</v>
      </c>
      <c r="B149" s="393" t="s">
        <v>739</v>
      </c>
      <c r="C149" s="524" t="s">
        <v>795</v>
      </c>
      <c r="D149" s="386" t="s">
        <v>1167</v>
      </c>
      <c r="E149" s="525" t="s">
        <v>1284</v>
      </c>
      <c r="F149" s="386" t="s">
        <v>797</v>
      </c>
      <c r="G149" s="386" t="s">
        <v>1320</v>
      </c>
      <c r="H149" s="381">
        <v>2</v>
      </c>
      <c r="I149" s="381">
        <v>10</v>
      </c>
      <c r="J149" s="381">
        <f t="shared" si="12"/>
        <v>2</v>
      </c>
      <c r="K149" s="633">
        <f t="shared" si="13"/>
        <v>20</v>
      </c>
      <c r="L149" s="634">
        <f>IFERROR(IF(B149="funkcna poziadavka",VLOOKUP(G149,MODULY_CBA!$B$3:$E$23,4,0)*H149/SUMIFS($H$3:$H$197,$G$3:$G$197,G149,$B$3:$B$197,B149),),)</f>
        <v>0</v>
      </c>
      <c r="M149" s="633">
        <f>IFERROR(IF(B149="Funkcna poziadavka",VLOOKUP(G149,MODULY_CBA!$B$3:$E$23,3,0),),)</f>
        <v>0.99499999999999988</v>
      </c>
      <c r="N149" s="633">
        <f>IFERROR(IF(B149="funkcna poziadavka",VLOOKUP(G149,MODULY_CBA!$B$3:$E$23,2,0),),)</f>
        <v>0.99</v>
      </c>
      <c r="O149" s="634">
        <f t="shared" si="14"/>
        <v>19.700999999999997</v>
      </c>
      <c r="P149" s="635">
        <f>IFERROR(O149*VLOOKUP(G149,MODULY_CBA!$B$3:$F$23,5,0),)</f>
        <v>591.02999999999986</v>
      </c>
      <c r="Q149" s="471" t="str">
        <f>IFERROR(VLOOKUP(G149,MODULY_CBA!$B$3:$I$23,6,0),"")</f>
        <v>Inkrement 3</v>
      </c>
      <c r="R149" s="385"/>
      <c r="S149" s="385"/>
      <c r="T149" s="385"/>
      <c r="U149" s="385"/>
      <c r="V149" s="388"/>
      <c r="W149" s="378"/>
      <c r="X149" s="378"/>
      <c r="Y149" s="385"/>
      <c r="Z149" s="385"/>
      <c r="AA149" s="385"/>
      <c r="AB149" s="385"/>
      <c r="AC149" s="385"/>
      <c r="AD149" s="385"/>
      <c r="AE149" s="385"/>
      <c r="AF149" s="390"/>
      <c r="AG149" s="389"/>
    </row>
    <row r="150" spans="1:33" s="387" customFormat="1" ht="38.25">
      <c r="A150" s="393" t="s">
        <v>1032</v>
      </c>
      <c r="B150" s="393" t="s">
        <v>739</v>
      </c>
      <c r="C150" s="524" t="s">
        <v>794</v>
      </c>
      <c r="D150" s="386" t="s">
        <v>1168</v>
      </c>
      <c r="E150" s="525" t="s">
        <v>1285</v>
      </c>
      <c r="F150" s="386" t="s">
        <v>797</v>
      </c>
      <c r="G150" s="386" t="s">
        <v>1321</v>
      </c>
      <c r="H150" s="381">
        <v>2</v>
      </c>
      <c r="I150" s="381">
        <v>10</v>
      </c>
      <c r="J150" s="381">
        <f t="shared" si="12"/>
        <v>2</v>
      </c>
      <c r="K150" s="633">
        <f t="shared" si="13"/>
        <v>20</v>
      </c>
      <c r="L150" s="634">
        <f>IFERROR(IF(B150="funkcna poziadavka",VLOOKUP(G150,MODULY_CBA!$B$3:$E$23,4,0)*H150/SUMIFS($H$3:$H$197,$G$3:$G$197,G150,$B$3:$B$197,B150),),)</f>
        <v>0</v>
      </c>
      <c r="M150" s="633">
        <f>IFERROR(IF(B150="Funkcna poziadavka",VLOOKUP(G150,MODULY_CBA!$B$3:$E$23,3,0),),)</f>
        <v>0.99499999999999988</v>
      </c>
      <c r="N150" s="633">
        <f>IFERROR(IF(B150="funkcna poziadavka",VLOOKUP(G150,MODULY_CBA!$B$3:$E$23,2,0),),)</f>
        <v>0.99</v>
      </c>
      <c r="O150" s="634">
        <f t="shared" si="14"/>
        <v>19.700999999999997</v>
      </c>
      <c r="P150" s="635">
        <f>IFERROR(O150*VLOOKUP(G150,MODULY_CBA!$B$3:$F$23,5,0),)</f>
        <v>591.02999999999986</v>
      </c>
      <c r="Q150" s="471" t="str">
        <f>IFERROR(VLOOKUP(G150,MODULY_CBA!$B$3:$I$23,6,0),"")</f>
        <v>Inkrement 3</v>
      </c>
      <c r="R150" s="385"/>
      <c r="S150" s="385"/>
      <c r="T150" s="385"/>
      <c r="U150" s="385"/>
      <c r="V150" s="388"/>
      <c r="W150" s="378"/>
      <c r="X150" s="378"/>
      <c r="Y150" s="385"/>
      <c r="Z150" s="385"/>
      <c r="AA150" s="385"/>
      <c r="AB150" s="385"/>
      <c r="AC150" s="385"/>
      <c r="AD150" s="385"/>
      <c r="AE150" s="385"/>
      <c r="AF150" s="390"/>
      <c r="AG150" s="389"/>
    </row>
    <row r="151" spans="1:33" s="387" customFormat="1" ht="38.25">
      <c r="A151" s="393" t="s">
        <v>1033</v>
      </c>
      <c r="B151" s="393" t="s">
        <v>739</v>
      </c>
      <c r="C151" s="524" t="s">
        <v>794</v>
      </c>
      <c r="D151" s="386" t="s">
        <v>1169</v>
      </c>
      <c r="E151" s="525" t="s">
        <v>1286</v>
      </c>
      <c r="F151" s="386" t="s">
        <v>797</v>
      </c>
      <c r="G151" s="386" t="s">
        <v>1321</v>
      </c>
      <c r="H151" s="381">
        <v>2</v>
      </c>
      <c r="I151" s="381">
        <v>10</v>
      </c>
      <c r="J151" s="381">
        <f t="shared" si="12"/>
        <v>2</v>
      </c>
      <c r="K151" s="633">
        <f t="shared" si="13"/>
        <v>20</v>
      </c>
      <c r="L151" s="634">
        <f>IFERROR(IF(B151="funkcna poziadavka",VLOOKUP(G151,MODULY_CBA!$B$3:$E$23,4,0)*H151/SUMIFS($H$3:$H$197,$G$3:$G$197,G151,$B$3:$B$197,B151),),)</f>
        <v>0</v>
      </c>
      <c r="M151" s="633">
        <f>IFERROR(IF(B151="Funkcna poziadavka",VLOOKUP(G151,MODULY_CBA!$B$3:$E$23,3,0),),)</f>
        <v>0.99499999999999988</v>
      </c>
      <c r="N151" s="633">
        <f>IFERROR(IF(B151="funkcna poziadavka",VLOOKUP(G151,MODULY_CBA!$B$3:$E$23,2,0),),)</f>
        <v>0.99</v>
      </c>
      <c r="O151" s="634">
        <f t="shared" si="14"/>
        <v>19.700999999999997</v>
      </c>
      <c r="P151" s="635">
        <f>IFERROR(O151*VLOOKUP(G151,MODULY_CBA!$B$3:$F$23,5,0),)</f>
        <v>591.02999999999986</v>
      </c>
      <c r="Q151" s="471" t="str">
        <f>IFERROR(VLOOKUP(G151,MODULY_CBA!$B$3:$I$23,6,0),"")</f>
        <v>Inkrement 3</v>
      </c>
      <c r="R151" s="385"/>
      <c r="S151" s="385"/>
      <c r="T151" s="385"/>
      <c r="U151" s="385"/>
      <c r="V151" s="388"/>
      <c r="W151" s="378"/>
      <c r="X151" s="378"/>
      <c r="Y151" s="385"/>
      <c r="Z151" s="385"/>
      <c r="AA151" s="385"/>
      <c r="AB151" s="385"/>
      <c r="AC151" s="385"/>
      <c r="AD151" s="385"/>
      <c r="AE151" s="385"/>
      <c r="AF151" s="390"/>
      <c r="AG151" s="389"/>
    </row>
    <row r="152" spans="1:33" s="387" customFormat="1" ht="51">
      <c r="A152" s="393" t="s">
        <v>1034</v>
      </c>
      <c r="B152" s="393" t="s">
        <v>739</v>
      </c>
      <c r="C152" s="524" t="s">
        <v>794</v>
      </c>
      <c r="D152" s="386" t="s">
        <v>1170</v>
      </c>
      <c r="E152" s="525" t="s">
        <v>1287</v>
      </c>
      <c r="F152" s="386" t="s">
        <v>797</v>
      </c>
      <c r="G152" s="386" t="s">
        <v>1321</v>
      </c>
      <c r="H152" s="381">
        <v>2</v>
      </c>
      <c r="I152" s="381">
        <v>10</v>
      </c>
      <c r="J152" s="381">
        <f t="shared" si="12"/>
        <v>2</v>
      </c>
      <c r="K152" s="633">
        <f t="shared" si="13"/>
        <v>20</v>
      </c>
      <c r="L152" s="634">
        <f>IFERROR(IF(B152="funkcna poziadavka",VLOOKUP(G152,MODULY_CBA!$B$3:$E$23,4,0)*H152/SUMIFS($H$3:$H$197,$G$3:$G$197,G152,$B$3:$B$197,B152),),)</f>
        <v>0</v>
      </c>
      <c r="M152" s="633">
        <f>IFERROR(IF(B152="Funkcna poziadavka",VLOOKUP(G152,MODULY_CBA!$B$3:$E$23,3,0),),)</f>
        <v>0.99499999999999988</v>
      </c>
      <c r="N152" s="633">
        <f>IFERROR(IF(B152="funkcna poziadavka",VLOOKUP(G152,MODULY_CBA!$B$3:$E$23,2,0),),)</f>
        <v>0.99</v>
      </c>
      <c r="O152" s="634">
        <f t="shared" si="14"/>
        <v>19.700999999999997</v>
      </c>
      <c r="P152" s="635">
        <f>IFERROR(O152*VLOOKUP(G152,MODULY_CBA!$B$3:$F$23,5,0),)</f>
        <v>591.02999999999986</v>
      </c>
      <c r="Q152" s="471" t="str">
        <f>IFERROR(VLOOKUP(G152,MODULY_CBA!$B$3:$I$23,6,0),"")</f>
        <v>Inkrement 3</v>
      </c>
      <c r="R152" s="385"/>
      <c r="S152" s="385"/>
      <c r="T152" s="385"/>
      <c r="U152" s="385"/>
      <c r="V152" s="388"/>
      <c r="W152" s="378"/>
      <c r="X152" s="378"/>
      <c r="Y152" s="385"/>
      <c r="Z152" s="385"/>
      <c r="AA152" s="385"/>
      <c r="AB152" s="385"/>
      <c r="AC152" s="385"/>
      <c r="AD152" s="385"/>
      <c r="AE152" s="385"/>
      <c r="AF152" s="390"/>
      <c r="AG152" s="389"/>
    </row>
    <row r="153" spans="1:33" s="387" customFormat="1" ht="38.25">
      <c r="A153" s="393" t="s">
        <v>1035</v>
      </c>
      <c r="B153" s="393" t="s">
        <v>739</v>
      </c>
      <c r="C153" s="524" t="s">
        <v>794</v>
      </c>
      <c r="D153" s="386" t="s">
        <v>1171</v>
      </c>
      <c r="E153" s="525" t="s">
        <v>1288</v>
      </c>
      <c r="F153" s="386" t="s">
        <v>797</v>
      </c>
      <c r="G153" s="386" t="s">
        <v>1321</v>
      </c>
      <c r="H153" s="381">
        <v>2</v>
      </c>
      <c r="I153" s="381">
        <v>10</v>
      </c>
      <c r="J153" s="381">
        <f t="shared" si="12"/>
        <v>2</v>
      </c>
      <c r="K153" s="633">
        <f t="shared" si="13"/>
        <v>20</v>
      </c>
      <c r="L153" s="634">
        <f>IFERROR(IF(B153="funkcna poziadavka",VLOOKUP(G153,MODULY_CBA!$B$3:$E$23,4,0)*H153/SUMIFS($H$3:$H$197,$G$3:$G$197,G153,$B$3:$B$197,B153),),)</f>
        <v>0</v>
      </c>
      <c r="M153" s="633">
        <f>IFERROR(IF(B153="Funkcna poziadavka",VLOOKUP(G153,MODULY_CBA!$B$3:$E$23,3,0),),)</f>
        <v>0.99499999999999988</v>
      </c>
      <c r="N153" s="633">
        <f>IFERROR(IF(B153="funkcna poziadavka",VLOOKUP(G153,MODULY_CBA!$B$3:$E$23,2,0),),)</f>
        <v>0.99</v>
      </c>
      <c r="O153" s="634">
        <f t="shared" si="14"/>
        <v>19.700999999999997</v>
      </c>
      <c r="P153" s="635">
        <f>IFERROR(O153*VLOOKUP(G153,MODULY_CBA!$B$3:$F$23,5,0),)</f>
        <v>591.02999999999986</v>
      </c>
      <c r="Q153" s="471" t="str">
        <f>IFERROR(VLOOKUP(G153,MODULY_CBA!$B$3:$I$23,6,0),"")</f>
        <v>Inkrement 3</v>
      </c>
      <c r="R153" s="385"/>
      <c r="S153" s="385"/>
      <c r="T153" s="385"/>
      <c r="U153" s="385"/>
      <c r="V153" s="388"/>
      <c r="W153" s="378"/>
      <c r="X153" s="378"/>
      <c r="Y153" s="385"/>
      <c r="Z153" s="385"/>
      <c r="AA153" s="385"/>
      <c r="AB153" s="385"/>
      <c r="AC153" s="385"/>
      <c r="AD153" s="385"/>
      <c r="AE153" s="385"/>
      <c r="AF153" s="390"/>
      <c r="AG153" s="389"/>
    </row>
    <row r="154" spans="1:33" s="387" customFormat="1" ht="38.25">
      <c r="A154" s="393" t="s">
        <v>1036</v>
      </c>
      <c r="B154" s="393" t="s">
        <v>739</v>
      </c>
      <c r="C154" s="524" t="s">
        <v>795</v>
      </c>
      <c r="D154" s="386" t="s">
        <v>1172</v>
      </c>
      <c r="E154" s="525" t="s">
        <v>1289</v>
      </c>
      <c r="F154" s="386" t="s">
        <v>797</v>
      </c>
      <c r="G154" s="386" t="s">
        <v>1322</v>
      </c>
      <c r="H154" s="381">
        <v>2</v>
      </c>
      <c r="I154" s="381">
        <v>10</v>
      </c>
      <c r="J154" s="381">
        <f t="shared" si="12"/>
        <v>2</v>
      </c>
      <c r="K154" s="633">
        <f t="shared" si="13"/>
        <v>20</v>
      </c>
      <c r="L154" s="634">
        <f>IFERROR(IF(B154="funkcna poziadavka",VLOOKUP(G154,MODULY_CBA!$B$3:$E$23,4,0)*H154/SUMIFS($H$3:$H$197,$G$3:$G$197,G154,$B$3:$B$197,B154),),)</f>
        <v>0</v>
      </c>
      <c r="M154" s="633">
        <f>IFERROR(IF(B154="Funkcna poziadavka",VLOOKUP(G154,MODULY_CBA!$B$3:$E$23,3,0),),)</f>
        <v>0.99499999999999988</v>
      </c>
      <c r="N154" s="633">
        <f>IFERROR(IF(B154="funkcna poziadavka",VLOOKUP(G154,MODULY_CBA!$B$3:$E$23,2,0),),)</f>
        <v>0.99</v>
      </c>
      <c r="O154" s="634">
        <f t="shared" si="14"/>
        <v>19.700999999999997</v>
      </c>
      <c r="P154" s="635">
        <f>IFERROR(O154*VLOOKUP(G154,MODULY_CBA!$B$3:$F$23,5,0),)</f>
        <v>591.02999999999986</v>
      </c>
      <c r="Q154" s="471" t="str">
        <f>IFERROR(VLOOKUP(G154,MODULY_CBA!$B$3:$I$23,6,0),"")</f>
        <v>Inkrement 3</v>
      </c>
      <c r="R154" s="385"/>
      <c r="S154" s="385"/>
      <c r="T154" s="385"/>
      <c r="U154" s="385"/>
      <c r="V154" s="388"/>
      <c r="W154" s="378"/>
      <c r="X154" s="378"/>
      <c r="Y154" s="385"/>
      <c r="Z154" s="385"/>
      <c r="AA154" s="385"/>
      <c r="AB154" s="385"/>
      <c r="AC154" s="385"/>
      <c r="AD154" s="385"/>
      <c r="AE154" s="385"/>
      <c r="AF154" s="390"/>
      <c r="AG154" s="389"/>
    </row>
    <row r="155" spans="1:33" s="387" customFormat="1" ht="38.25">
      <c r="A155" s="393" t="s">
        <v>1037</v>
      </c>
      <c r="B155" s="393" t="s">
        <v>739</v>
      </c>
      <c r="C155" s="524" t="s">
        <v>795</v>
      </c>
      <c r="D155" s="386" t="s">
        <v>1173</v>
      </c>
      <c r="E155" s="525" t="s">
        <v>1290</v>
      </c>
      <c r="F155" s="386" t="s">
        <v>797</v>
      </c>
      <c r="G155" s="386" t="s">
        <v>1322</v>
      </c>
      <c r="H155" s="381">
        <v>2</v>
      </c>
      <c r="I155" s="381">
        <v>10</v>
      </c>
      <c r="J155" s="381">
        <f t="shared" si="12"/>
        <v>2</v>
      </c>
      <c r="K155" s="633">
        <f t="shared" si="13"/>
        <v>20</v>
      </c>
      <c r="L155" s="634">
        <f>IFERROR(IF(B155="funkcna poziadavka",VLOOKUP(G155,MODULY_CBA!$B$3:$E$23,4,0)*H155/SUMIFS($H$3:$H$197,$G$3:$G$197,G155,$B$3:$B$197,B155),),)</f>
        <v>0</v>
      </c>
      <c r="M155" s="633">
        <f>IFERROR(IF(B155="Funkcna poziadavka",VLOOKUP(G155,MODULY_CBA!$B$3:$E$23,3,0),),)</f>
        <v>0.99499999999999988</v>
      </c>
      <c r="N155" s="633">
        <f>IFERROR(IF(B155="funkcna poziadavka",VLOOKUP(G155,MODULY_CBA!$B$3:$E$23,2,0),),)</f>
        <v>0.99</v>
      </c>
      <c r="O155" s="634">
        <f t="shared" si="14"/>
        <v>19.700999999999997</v>
      </c>
      <c r="P155" s="635">
        <f>IFERROR(O155*VLOOKUP(G155,MODULY_CBA!$B$3:$F$23,5,0),)</f>
        <v>591.02999999999986</v>
      </c>
      <c r="Q155" s="471" t="str">
        <f>IFERROR(VLOOKUP(G155,MODULY_CBA!$B$3:$I$23,6,0),"")</f>
        <v>Inkrement 3</v>
      </c>
      <c r="R155" s="385"/>
      <c r="S155" s="385"/>
      <c r="T155" s="385"/>
      <c r="U155" s="385"/>
      <c r="V155" s="388"/>
      <c r="W155" s="378"/>
      <c r="X155" s="378"/>
      <c r="Y155" s="385"/>
      <c r="Z155" s="385"/>
      <c r="AA155" s="385"/>
      <c r="AB155" s="385"/>
      <c r="AC155" s="385"/>
      <c r="AD155" s="385"/>
      <c r="AE155" s="385"/>
      <c r="AF155" s="390"/>
      <c r="AG155" s="389"/>
    </row>
    <row r="156" spans="1:33" s="387" customFormat="1" ht="38.25">
      <c r="A156" s="393" t="s">
        <v>1038</v>
      </c>
      <c r="B156" s="393" t="s">
        <v>739</v>
      </c>
      <c r="C156" s="524" t="s">
        <v>795</v>
      </c>
      <c r="D156" s="386" t="s">
        <v>1174</v>
      </c>
      <c r="E156" s="525" t="s">
        <v>1291</v>
      </c>
      <c r="F156" s="386" t="s">
        <v>797</v>
      </c>
      <c r="G156" s="386" t="s">
        <v>1322</v>
      </c>
      <c r="H156" s="381">
        <v>2</v>
      </c>
      <c r="I156" s="381">
        <v>10</v>
      </c>
      <c r="J156" s="381">
        <f t="shared" si="12"/>
        <v>2</v>
      </c>
      <c r="K156" s="633">
        <f t="shared" si="13"/>
        <v>20</v>
      </c>
      <c r="L156" s="634">
        <f>IFERROR(IF(B156="funkcna poziadavka",VLOOKUP(G156,MODULY_CBA!$B$3:$E$23,4,0)*H156/SUMIFS($H$3:$H$197,$G$3:$G$197,G156,$B$3:$B$197,B156),),)</f>
        <v>0</v>
      </c>
      <c r="M156" s="633">
        <f>IFERROR(IF(B156="Funkcna poziadavka",VLOOKUP(G156,MODULY_CBA!$B$3:$E$23,3,0),),)</f>
        <v>0.99499999999999988</v>
      </c>
      <c r="N156" s="633">
        <f>IFERROR(IF(B156="funkcna poziadavka",VLOOKUP(G156,MODULY_CBA!$B$3:$E$23,2,0),),)</f>
        <v>0.99</v>
      </c>
      <c r="O156" s="634">
        <f t="shared" si="14"/>
        <v>19.700999999999997</v>
      </c>
      <c r="P156" s="635">
        <f>IFERROR(O156*VLOOKUP(G156,MODULY_CBA!$B$3:$F$23,5,0),)</f>
        <v>591.02999999999986</v>
      </c>
      <c r="Q156" s="471" t="str">
        <f>IFERROR(VLOOKUP(G156,MODULY_CBA!$B$3:$I$23,6,0),"")</f>
        <v>Inkrement 3</v>
      </c>
      <c r="R156" s="385"/>
      <c r="S156" s="385"/>
      <c r="T156" s="385"/>
      <c r="U156" s="385"/>
      <c r="V156" s="388"/>
      <c r="W156" s="378"/>
      <c r="X156" s="378"/>
      <c r="Y156" s="385"/>
      <c r="Z156" s="385"/>
      <c r="AA156" s="385"/>
      <c r="AB156" s="385"/>
      <c r="AC156" s="385"/>
      <c r="AD156" s="385"/>
      <c r="AE156" s="385"/>
      <c r="AF156" s="390"/>
      <c r="AG156" s="389"/>
    </row>
    <row r="157" spans="1:33" s="387" customFormat="1" ht="38.25">
      <c r="A157" s="393" t="s">
        <v>1039</v>
      </c>
      <c r="B157" s="393" t="s">
        <v>739</v>
      </c>
      <c r="C157" s="524" t="s">
        <v>795</v>
      </c>
      <c r="D157" s="386" t="s">
        <v>1175</v>
      </c>
      <c r="E157" s="525" t="s">
        <v>1292</v>
      </c>
      <c r="F157" s="386" t="s">
        <v>797</v>
      </c>
      <c r="G157" s="386" t="s">
        <v>1322</v>
      </c>
      <c r="H157" s="381">
        <v>2</v>
      </c>
      <c r="I157" s="381">
        <v>10</v>
      </c>
      <c r="J157" s="381">
        <f t="shared" si="12"/>
        <v>2</v>
      </c>
      <c r="K157" s="633">
        <f t="shared" si="13"/>
        <v>20</v>
      </c>
      <c r="L157" s="634">
        <f>IFERROR(IF(B157="funkcna poziadavka",VLOOKUP(G157,MODULY_CBA!$B$3:$E$23,4,0)*H157/SUMIFS($H$3:$H$197,$G$3:$G$197,G157,$B$3:$B$197,B157),),)</f>
        <v>0</v>
      </c>
      <c r="M157" s="633">
        <f>IFERROR(IF(B157="Funkcna poziadavka",VLOOKUP(G157,MODULY_CBA!$B$3:$E$23,3,0),),)</f>
        <v>0.99499999999999988</v>
      </c>
      <c r="N157" s="633">
        <f>IFERROR(IF(B157="funkcna poziadavka",VLOOKUP(G157,MODULY_CBA!$B$3:$E$23,2,0),),)</f>
        <v>0.99</v>
      </c>
      <c r="O157" s="634">
        <f t="shared" si="14"/>
        <v>19.700999999999997</v>
      </c>
      <c r="P157" s="635">
        <f>IFERROR(O157*VLOOKUP(G157,MODULY_CBA!$B$3:$F$23,5,0),)</f>
        <v>591.02999999999986</v>
      </c>
      <c r="Q157" s="471" t="str">
        <f>IFERROR(VLOOKUP(G157,MODULY_CBA!$B$3:$I$23,6,0),"")</f>
        <v>Inkrement 3</v>
      </c>
      <c r="R157" s="385"/>
      <c r="S157" s="385"/>
      <c r="T157" s="385"/>
      <c r="U157" s="385"/>
      <c r="V157" s="388"/>
      <c r="W157" s="378"/>
      <c r="X157" s="378"/>
      <c r="Y157" s="385"/>
      <c r="Z157" s="385"/>
      <c r="AA157" s="385"/>
      <c r="AB157" s="385"/>
      <c r="AC157" s="385"/>
      <c r="AD157" s="385"/>
      <c r="AE157" s="385"/>
      <c r="AF157" s="390"/>
      <c r="AG157" s="389"/>
    </row>
    <row r="158" spans="1:33" s="387" customFormat="1" ht="38.25">
      <c r="A158" s="393" t="s">
        <v>1040</v>
      </c>
      <c r="B158" s="393" t="s">
        <v>739</v>
      </c>
      <c r="C158" s="524" t="s">
        <v>795</v>
      </c>
      <c r="D158" s="386" t="s">
        <v>1176</v>
      </c>
      <c r="E158" s="525" t="s">
        <v>1293</v>
      </c>
      <c r="F158" s="386" t="s">
        <v>797</v>
      </c>
      <c r="G158" s="386" t="s">
        <v>1322</v>
      </c>
      <c r="H158" s="381">
        <v>2</v>
      </c>
      <c r="I158" s="381">
        <v>10</v>
      </c>
      <c r="J158" s="381">
        <f t="shared" si="12"/>
        <v>2</v>
      </c>
      <c r="K158" s="633">
        <f t="shared" si="13"/>
        <v>20</v>
      </c>
      <c r="L158" s="634">
        <f>IFERROR(IF(B158="funkcna poziadavka",VLOOKUP(G158,MODULY_CBA!$B$3:$E$23,4,0)*H158/SUMIFS($H$3:$H$197,$G$3:$G$197,G158,$B$3:$B$197,B158),),)</f>
        <v>0</v>
      </c>
      <c r="M158" s="633">
        <f>IFERROR(IF(B158="Funkcna poziadavka",VLOOKUP(G158,MODULY_CBA!$B$3:$E$23,3,0),),)</f>
        <v>0.99499999999999988</v>
      </c>
      <c r="N158" s="633">
        <f>IFERROR(IF(B158="funkcna poziadavka",VLOOKUP(G158,MODULY_CBA!$B$3:$E$23,2,0),),)</f>
        <v>0.99</v>
      </c>
      <c r="O158" s="634">
        <f t="shared" si="14"/>
        <v>19.700999999999997</v>
      </c>
      <c r="P158" s="635">
        <f>IFERROR(O158*VLOOKUP(G158,MODULY_CBA!$B$3:$F$23,5,0),)</f>
        <v>591.02999999999986</v>
      </c>
      <c r="Q158" s="471" t="str">
        <f>IFERROR(VLOOKUP(G158,MODULY_CBA!$B$3:$I$23,6,0),"")</f>
        <v>Inkrement 3</v>
      </c>
      <c r="R158" s="385"/>
      <c r="S158" s="385"/>
      <c r="T158" s="385"/>
      <c r="U158" s="385"/>
      <c r="V158" s="388"/>
      <c r="W158" s="378"/>
      <c r="X158" s="378"/>
      <c r="Y158" s="385"/>
      <c r="Z158" s="385"/>
      <c r="AA158" s="385"/>
      <c r="AB158" s="385"/>
      <c r="AC158" s="385"/>
      <c r="AD158" s="385"/>
      <c r="AE158" s="385"/>
      <c r="AF158" s="390"/>
      <c r="AG158" s="389"/>
    </row>
    <row r="159" spans="1:33" s="387" customFormat="1" ht="38.25">
      <c r="A159" s="393" t="s">
        <v>1041</v>
      </c>
      <c r="B159" s="393" t="s">
        <v>739</v>
      </c>
      <c r="C159" s="524" t="s">
        <v>795</v>
      </c>
      <c r="D159" s="386" t="s">
        <v>1177</v>
      </c>
      <c r="E159" s="525" t="s">
        <v>1294</v>
      </c>
      <c r="F159" s="386" t="s">
        <v>797</v>
      </c>
      <c r="G159" s="386" t="s">
        <v>1322</v>
      </c>
      <c r="H159" s="381">
        <v>2</v>
      </c>
      <c r="I159" s="381">
        <v>10</v>
      </c>
      <c r="J159" s="381">
        <f t="shared" si="12"/>
        <v>2</v>
      </c>
      <c r="K159" s="633">
        <f t="shared" si="13"/>
        <v>20</v>
      </c>
      <c r="L159" s="634">
        <f>IFERROR(IF(B159="funkcna poziadavka",VLOOKUP(G159,MODULY_CBA!$B$3:$E$23,4,0)*H159/SUMIFS($H$3:$H$197,$G$3:$G$197,G159,$B$3:$B$197,B159),),)</f>
        <v>0</v>
      </c>
      <c r="M159" s="633">
        <f>IFERROR(IF(B159="Funkcna poziadavka",VLOOKUP(G159,MODULY_CBA!$B$3:$E$23,3,0),),)</f>
        <v>0.99499999999999988</v>
      </c>
      <c r="N159" s="633">
        <f>IFERROR(IF(B159="funkcna poziadavka",VLOOKUP(G159,MODULY_CBA!$B$3:$E$23,2,0),),)</f>
        <v>0.99</v>
      </c>
      <c r="O159" s="634">
        <f t="shared" si="14"/>
        <v>19.700999999999997</v>
      </c>
      <c r="P159" s="635">
        <f>IFERROR(O159*VLOOKUP(G159,MODULY_CBA!$B$3:$F$23,5,0),)</f>
        <v>591.02999999999986</v>
      </c>
      <c r="Q159" s="471" t="str">
        <f>IFERROR(VLOOKUP(G159,MODULY_CBA!$B$3:$I$23,6,0),"")</f>
        <v>Inkrement 3</v>
      </c>
      <c r="R159" s="385"/>
      <c r="S159" s="385"/>
      <c r="T159" s="385"/>
      <c r="U159" s="385"/>
      <c r="V159" s="388"/>
      <c r="W159" s="378"/>
      <c r="X159" s="378"/>
      <c r="Y159" s="385"/>
      <c r="Z159" s="385"/>
      <c r="AA159" s="385"/>
      <c r="AB159" s="385"/>
      <c r="AC159" s="385"/>
      <c r="AD159" s="385"/>
      <c r="AE159" s="385"/>
      <c r="AF159" s="390"/>
      <c r="AG159" s="389"/>
    </row>
    <row r="160" spans="1:33" s="387" customFormat="1" ht="38.25">
      <c r="A160" s="393" t="s">
        <v>1042</v>
      </c>
      <c r="B160" s="393" t="s">
        <v>739</v>
      </c>
      <c r="C160" s="524" t="s">
        <v>795</v>
      </c>
      <c r="D160" s="386" t="s">
        <v>1178</v>
      </c>
      <c r="E160" s="525" t="s">
        <v>1295</v>
      </c>
      <c r="F160" s="386" t="s">
        <v>797</v>
      </c>
      <c r="G160" s="386" t="s">
        <v>1322</v>
      </c>
      <c r="H160" s="381">
        <v>2</v>
      </c>
      <c r="I160" s="381">
        <v>10</v>
      </c>
      <c r="J160" s="381">
        <f t="shared" si="12"/>
        <v>2</v>
      </c>
      <c r="K160" s="633">
        <f t="shared" si="13"/>
        <v>20</v>
      </c>
      <c r="L160" s="634">
        <f>IFERROR(IF(B160="funkcna poziadavka",VLOOKUP(G160,MODULY_CBA!$B$3:$E$23,4,0)*H160/SUMIFS($H$3:$H$197,$G$3:$G$197,G160,$B$3:$B$197,B160),),)</f>
        <v>0</v>
      </c>
      <c r="M160" s="633">
        <f>IFERROR(IF(B160="Funkcna poziadavka",VLOOKUP(G160,MODULY_CBA!$B$3:$E$23,3,0),),)</f>
        <v>0.99499999999999988</v>
      </c>
      <c r="N160" s="633">
        <f>IFERROR(IF(B160="funkcna poziadavka",VLOOKUP(G160,MODULY_CBA!$B$3:$E$23,2,0),),)</f>
        <v>0.99</v>
      </c>
      <c r="O160" s="634">
        <f t="shared" si="14"/>
        <v>19.700999999999997</v>
      </c>
      <c r="P160" s="635">
        <f>IFERROR(O160*VLOOKUP(G160,MODULY_CBA!$B$3:$F$23,5,0),)</f>
        <v>591.02999999999986</v>
      </c>
      <c r="Q160" s="471" t="str">
        <f>IFERROR(VLOOKUP(G160,MODULY_CBA!$B$3:$I$23,6,0),"")</f>
        <v>Inkrement 3</v>
      </c>
      <c r="R160" s="385"/>
      <c r="S160" s="385"/>
      <c r="T160" s="385"/>
      <c r="U160" s="385"/>
      <c r="V160" s="388"/>
      <c r="W160" s="378"/>
      <c r="X160" s="378"/>
      <c r="Y160" s="385"/>
      <c r="Z160" s="385"/>
      <c r="AA160" s="385"/>
      <c r="AB160" s="385"/>
      <c r="AC160" s="385"/>
      <c r="AD160" s="385"/>
      <c r="AE160" s="385"/>
      <c r="AF160" s="390"/>
      <c r="AG160" s="389"/>
    </row>
    <row r="161" spans="1:33" s="387" customFormat="1" ht="38.25">
      <c r="A161" s="393" t="s">
        <v>1043</v>
      </c>
      <c r="B161" s="393" t="s">
        <v>739</v>
      </c>
      <c r="C161" s="524" t="s">
        <v>795</v>
      </c>
      <c r="D161" s="386" t="s">
        <v>1179</v>
      </c>
      <c r="E161" s="525" t="s">
        <v>1296</v>
      </c>
      <c r="F161" s="386" t="s">
        <v>797</v>
      </c>
      <c r="G161" s="386" t="s">
        <v>839</v>
      </c>
      <c r="H161" s="381">
        <v>2</v>
      </c>
      <c r="I161" s="381">
        <v>10</v>
      </c>
      <c r="J161" s="381">
        <f t="shared" si="12"/>
        <v>2</v>
      </c>
      <c r="K161" s="633">
        <f t="shared" si="13"/>
        <v>20</v>
      </c>
      <c r="L161" s="634">
        <f>IFERROR(IF(B161="funkcna poziadavka",VLOOKUP(G161,MODULY_CBA!$B$3:$E$23,4,0)*H161/SUMIFS($H$3:$H$197,$G$3:$G$197,G161,$B$3:$B$197,B161),),)</f>
        <v>0</v>
      </c>
      <c r="M161" s="633">
        <f>IFERROR(IF(B161="Funkcna poziadavka",VLOOKUP(G161,MODULY_CBA!$B$3:$E$23,3,0),),)</f>
        <v>0.99499999999999988</v>
      </c>
      <c r="N161" s="633">
        <f>IFERROR(IF(B161="funkcna poziadavka",VLOOKUP(G161,MODULY_CBA!$B$3:$E$23,2,0),),)</f>
        <v>0.99</v>
      </c>
      <c r="O161" s="634">
        <f t="shared" si="14"/>
        <v>19.700999999999997</v>
      </c>
      <c r="P161" s="635">
        <f>IFERROR(O161*VLOOKUP(G161,MODULY_CBA!$B$3:$F$23,5,0),)</f>
        <v>591.02999999999986</v>
      </c>
      <c r="Q161" s="471" t="str">
        <f>IFERROR(VLOOKUP(G161,MODULY_CBA!$B$3:$I$23,6,0),"")</f>
        <v>Inkrement 3</v>
      </c>
      <c r="R161" s="385"/>
      <c r="S161" s="385"/>
      <c r="T161" s="385"/>
      <c r="U161" s="385"/>
      <c r="V161" s="388"/>
      <c r="W161" s="378"/>
      <c r="X161" s="378"/>
      <c r="Y161" s="385"/>
      <c r="Z161" s="385"/>
      <c r="AA161" s="385"/>
      <c r="AB161" s="385"/>
      <c r="AC161" s="385"/>
      <c r="AD161" s="385"/>
      <c r="AE161" s="385"/>
      <c r="AF161" s="390"/>
      <c r="AG161" s="389"/>
    </row>
    <row r="162" spans="1:33" s="387" customFormat="1" ht="38.25">
      <c r="A162" s="393" t="s">
        <v>1044</v>
      </c>
      <c r="B162" s="393" t="s">
        <v>739</v>
      </c>
      <c r="C162" s="524" t="s">
        <v>795</v>
      </c>
      <c r="D162" s="386" t="s">
        <v>1180</v>
      </c>
      <c r="E162" s="525" t="s">
        <v>1297</v>
      </c>
      <c r="F162" s="386" t="s">
        <v>797</v>
      </c>
      <c r="G162" s="386" t="s">
        <v>839</v>
      </c>
      <c r="H162" s="381">
        <v>2</v>
      </c>
      <c r="I162" s="381">
        <v>10</v>
      </c>
      <c r="J162" s="381">
        <f t="shared" si="12"/>
        <v>2</v>
      </c>
      <c r="K162" s="633">
        <f t="shared" si="13"/>
        <v>20</v>
      </c>
      <c r="L162" s="634">
        <f>IFERROR(IF(B162="funkcna poziadavka",VLOOKUP(G162,MODULY_CBA!$B$3:$E$23,4,0)*H162/SUMIFS($H$3:$H$197,$G$3:$G$197,G162,$B$3:$B$197,B162),),)</f>
        <v>0</v>
      </c>
      <c r="M162" s="633">
        <f>IFERROR(IF(B162="Funkcna poziadavka",VLOOKUP(G162,MODULY_CBA!$B$3:$E$23,3,0),),)</f>
        <v>0.99499999999999988</v>
      </c>
      <c r="N162" s="633">
        <f>IFERROR(IF(B162="funkcna poziadavka",VLOOKUP(G162,MODULY_CBA!$B$3:$E$23,2,0),),)</f>
        <v>0.99</v>
      </c>
      <c r="O162" s="634">
        <f t="shared" si="14"/>
        <v>19.700999999999997</v>
      </c>
      <c r="P162" s="635">
        <f>IFERROR(O162*VLOOKUP(G162,MODULY_CBA!$B$3:$F$23,5,0),)</f>
        <v>591.02999999999986</v>
      </c>
      <c r="Q162" s="471" t="str">
        <f>IFERROR(VLOOKUP(G162,MODULY_CBA!$B$3:$I$23,6,0),"")</f>
        <v>Inkrement 3</v>
      </c>
      <c r="R162" s="385"/>
      <c r="S162" s="385"/>
      <c r="T162" s="385"/>
      <c r="U162" s="385"/>
      <c r="V162" s="388"/>
      <c r="W162" s="378"/>
      <c r="X162" s="378"/>
      <c r="Y162" s="385"/>
      <c r="Z162" s="385"/>
      <c r="AA162" s="385"/>
      <c r="AB162" s="385"/>
      <c r="AC162" s="385"/>
      <c r="AD162" s="385"/>
      <c r="AE162" s="385"/>
      <c r="AF162" s="390"/>
      <c r="AG162" s="389"/>
    </row>
    <row r="163" spans="1:33" s="387" customFormat="1" ht="38.25">
      <c r="A163" s="393" t="s">
        <v>1045</v>
      </c>
      <c r="B163" s="393" t="s">
        <v>739</v>
      </c>
      <c r="C163" s="524" t="s">
        <v>795</v>
      </c>
      <c r="D163" s="386" t="s">
        <v>1181</v>
      </c>
      <c r="E163" s="525" t="s">
        <v>1298</v>
      </c>
      <c r="F163" s="386" t="s">
        <v>797</v>
      </c>
      <c r="G163" s="386" t="s">
        <v>839</v>
      </c>
      <c r="H163" s="381">
        <v>2</v>
      </c>
      <c r="I163" s="381">
        <v>10</v>
      </c>
      <c r="J163" s="381">
        <f t="shared" si="12"/>
        <v>2</v>
      </c>
      <c r="K163" s="633">
        <f t="shared" si="13"/>
        <v>20</v>
      </c>
      <c r="L163" s="634">
        <f>IFERROR(IF(B163="funkcna poziadavka",VLOOKUP(G163,MODULY_CBA!$B$3:$E$23,4,0)*H163/SUMIFS($H$3:$H$197,$G$3:$G$197,G163,$B$3:$B$197,B163),),)</f>
        <v>0</v>
      </c>
      <c r="M163" s="633">
        <f>IFERROR(IF(B163="Funkcna poziadavka",VLOOKUP(G163,MODULY_CBA!$B$3:$E$23,3,0),),)</f>
        <v>0.99499999999999988</v>
      </c>
      <c r="N163" s="633">
        <f>IFERROR(IF(B163="funkcna poziadavka",VLOOKUP(G163,MODULY_CBA!$B$3:$E$23,2,0),),)</f>
        <v>0.99</v>
      </c>
      <c r="O163" s="634">
        <f t="shared" si="14"/>
        <v>19.700999999999997</v>
      </c>
      <c r="P163" s="635">
        <f>IFERROR(O163*VLOOKUP(G163,MODULY_CBA!$B$3:$F$23,5,0),)</f>
        <v>591.02999999999986</v>
      </c>
      <c r="Q163" s="471" t="str">
        <f>IFERROR(VLOOKUP(G163,MODULY_CBA!$B$3:$I$23,6,0),"")</f>
        <v>Inkrement 3</v>
      </c>
      <c r="R163" s="385"/>
      <c r="S163" s="385"/>
      <c r="T163" s="385"/>
      <c r="U163" s="385"/>
      <c r="V163" s="388"/>
      <c r="W163" s="378"/>
      <c r="X163" s="378"/>
      <c r="Y163" s="385"/>
      <c r="Z163" s="385"/>
      <c r="AA163" s="385"/>
      <c r="AB163" s="385"/>
      <c r="AC163" s="385"/>
      <c r="AD163" s="385"/>
      <c r="AE163" s="385"/>
      <c r="AF163" s="390"/>
      <c r="AG163" s="389"/>
    </row>
    <row r="164" spans="1:33" s="387" customFormat="1" ht="38.25">
      <c r="A164" s="393" t="s">
        <v>1046</v>
      </c>
      <c r="B164" s="393" t="s">
        <v>739</v>
      </c>
      <c r="C164" s="524" t="s">
        <v>795</v>
      </c>
      <c r="D164" s="386" t="s">
        <v>1182</v>
      </c>
      <c r="E164" s="525" t="s">
        <v>1299</v>
      </c>
      <c r="F164" s="386" t="s">
        <v>797</v>
      </c>
      <c r="G164" s="386" t="s">
        <v>839</v>
      </c>
      <c r="H164" s="381">
        <v>2</v>
      </c>
      <c r="I164" s="381">
        <v>10</v>
      </c>
      <c r="J164" s="381">
        <f t="shared" si="12"/>
        <v>2</v>
      </c>
      <c r="K164" s="633">
        <f t="shared" si="13"/>
        <v>20</v>
      </c>
      <c r="L164" s="634">
        <f>IFERROR(IF(B164="funkcna poziadavka",VLOOKUP(G164,MODULY_CBA!$B$3:$E$23,4,0)*H164/SUMIFS($H$3:$H$197,$G$3:$G$197,G164,$B$3:$B$197,B164),),)</f>
        <v>0</v>
      </c>
      <c r="M164" s="633">
        <f>IFERROR(IF(B164="Funkcna poziadavka",VLOOKUP(G164,MODULY_CBA!$B$3:$E$23,3,0),),)</f>
        <v>0.99499999999999988</v>
      </c>
      <c r="N164" s="633">
        <f>IFERROR(IF(B164="funkcna poziadavka",VLOOKUP(G164,MODULY_CBA!$B$3:$E$23,2,0),),)</f>
        <v>0.99</v>
      </c>
      <c r="O164" s="634">
        <f t="shared" si="14"/>
        <v>19.700999999999997</v>
      </c>
      <c r="P164" s="635">
        <f>IFERROR(O164*VLOOKUP(G164,MODULY_CBA!$B$3:$F$23,5,0),)</f>
        <v>591.02999999999986</v>
      </c>
      <c r="Q164" s="471" t="str">
        <f>IFERROR(VLOOKUP(G164,MODULY_CBA!$B$3:$I$23,6,0),"")</f>
        <v>Inkrement 3</v>
      </c>
      <c r="R164" s="385"/>
      <c r="S164" s="385"/>
      <c r="T164" s="385"/>
      <c r="U164" s="385"/>
      <c r="V164" s="388"/>
      <c r="W164" s="378"/>
      <c r="X164" s="378"/>
      <c r="Y164" s="385"/>
      <c r="Z164" s="385"/>
      <c r="AA164" s="385"/>
      <c r="AB164" s="385"/>
      <c r="AC164" s="385"/>
      <c r="AD164" s="385"/>
      <c r="AE164" s="385"/>
      <c r="AF164" s="390"/>
      <c r="AG164" s="389"/>
    </row>
    <row r="165" spans="1:33" s="387" customFormat="1" ht="38.25">
      <c r="A165" s="393" t="s">
        <v>1047</v>
      </c>
      <c r="B165" s="393" t="s">
        <v>739</v>
      </c>
      <c r="C165" s="524" t="s">
        <v>795</v>
      </c>
      <c r="D165" s="386" t="s">
        <v>1183</v>
      </c>
      <c r="E165" s="525" t="s">
        <v>1300</v>
      </c>
      <c r="F165" s="386" t="s">
        <v>797</v>
      </c>
      <c r="G165" s="386" t="s">
        <v>839</v>
      </c>
      <c r="H165" s="381">
        <v>2</v>
      </c>
      <c r="I165" s="381">
        <v>10</v>
      </c>
      <c r="J165" s="381">
        <f t="shared" si="12"/>
        <v>2</v>
      </c>
      <c r="K165" s="633">
        <f t="shared" si="13"/>
        <v>20</v>
      </c>
      <c r="L165" s="634">
        <f>IFERROR(IF(B165="funkcna poziadavka",VLOOKUP(G165,MODULY_CBA!$B$3:$E$23,4,0)*H165/SUMIFS($H$3:$H$197,$G$3:$G$197,G165,$B$3:$B$197,B165),),)</f>
        <v>0</v>
      </c>
      <c r="M165" s="633">
        <f>IFERROR(IF(B165="Funkcna poziadavka",VLOOKUP(G165,MODULY_CBA!$B$3:$E$23,3,0),),)</f>
        <v>0.99499999999999988</v>
      </c>
      <c r="N165" s="633">
        <f>IFERROR(IF(B165="funkcna poziadavka",VLOOKUP(G165,MODULY_CBA!$B$3:$E$23,2,0),),)</f>
        <v>0.99</v>
      </c>
      <c r="O165" s="634">
        <f t="shared" si="14"/>
        <v>19.700999999999997</v>
      </c>
      <c r="P165" s="635">
        <f>IFERROR(O165*VLOOKUP(G165,MODULY_CBA!$B$3:$F$23,5,0),)</f>
        <v>591.02999999999986</v>
      </c>
      <c r="Q165" s="471" t="str">
        <f>IFERROR(VLOOKUP(G165,MODULY_CBA!$B$3:$I$23,6,0),"")</f>
        <v>Inkrement 3</v>
      </c>
      <c r="R165" s="385"/>
      <c r="S165" s="385"/>
      <c r="T165" s="385"/>
      <c r="U165" s="385"/>
      <c r="V165" s="388"/>
      <c r="W165" s="378"/>
      <c r="X165" s="378"/>
      <c r="Y165" s="385"/>
      <c r="Z165" s="385"/>
      <c r="AA165" s="385"/>
      <c r="AB165" s="385"/>
      <c r="AC165" s="385"/>
      <c r="AD165" s="385"/>
      <c r="AE165" s="385"/>
      <c r="AF165" s="390"/>
      <c r="AG165" s="389"/>
    </row>
    <row r="166" spans="1:33" s="387" customFormat="1" ht="51">
      <c r="A166" s="393" t="s">
        <v>1048</v>
      </c>
      <c r="B166" s="393" t="s">
        <v>739</v>
      </c>
      <c r="C166" s="524" t="s">
        <v>795</v>
      </c>
      <c r="D166" s="386" t="s">
        <v>1184</v>
      </c>
      <c r="E166" s="525" t="s">
        <v>1301</v>
      </c>
      <c r="F166" s="386" t="s">
        <v>797</v>
      </c>
      <c r="G166" s="386" t="s">
        <v>839</v>
      </c>
      <c r="H166" s="381">
        <v>2</v>
      </c>
      <c r="I166" s="381">
        <v>10</v>
      </c>
      <c r="J166" s="381">
        <f t="shared" si="12"/>
        <v>2</v>
      </c>
      <c r="K166" s="633">
        <f t="shared" si="13"/>
        <v>20</v>
      </c>
      <c r="L166" s="634">
        <f>IFERROR(IF(B166="funkcna poziadavka",VLOOKUP(G166,MODULY_CBA!$B$3:$E$23,4,0)*H166/SUMIFS($H$3:$H$197,$G$3:$G$197,G166,$B$3:$B$197,B166),),)</f>
        <v>0</v>
      </c>
      <c r="M166" s="633">
        <f>IFERROR(IF(B166="Funkcna poziadavka",VLOOKUP(G166,MODULY_CBA!$B$3:$E$23,3,0),),)</f>
        <v>0.99499999999999988</v>
      </c>
      <c r="N166" s="633">
        <f>IFERROR(IF(B166="funkcna poziadavka",VLOOKUP(G166,MODULY_CBA!$B$3:$E$23,2,0),),)</f>
        <v>0.99</v>
      </c>
      <c r="O166" s="634">
        <f t="shared" si="14"/>
        <v>19.700999999999997</v>
      </c>
      <c r="P166" s="635">
        <f>IFERROR(O166*VLOOKUP(G166,MODULY_CBA!$B$3:$F$23,5,0),)</f>
        <v>591.02999999999986</v>
      </c>
      <c r="Q166" s="471" t="str">
        <f>IFERROR(VLOOKUP(G166,MODULY_CBA!$B$3:$I$23,6,0),"")</f>
        <v>Inkrement 3</v>
      </c>
      <c r="R166" s="385"/>
      <c r="S166" s="385"/>
      <c r="T166" s="385"/>
      <c r="U166" s="385"/>
      <c r="V166" s="388"/>
      <c r="W166" s="378"/>
      <c r="X166" s="378"/>
      <c r="Y166" s="385"/>
      <c r="Z166" s="385"/>
      <c r="AA166" s="385"/>
      <c r="AB166" s="385"/>
      <c r="AC166" s="385"/>
      <c r="AD166" s="385"/>
      <c r="AE166" s="385"/>
      <c r="AF166" s="390"/>
      <c r="AG166" s="389"/>
    </row>
    <row r="167" spans="1:33" s="387" customFormat="1" ht="38.25">
      <c r="A167" s="393" t="s">
        <v>1049</v>
      </c>
      <c r="B167" s="393" t="s">
        <v>739</v>
      </c>
      <c r="C167" s="524" t="s">
        <v>795</v>
      </c>
      <c r="D167" s="386" t="s">
        <v>1185</v>
      </c>
      <c r="E167" s="525" t="s">
        <v>1302</v>
      </c>
      <c r="F167" s="386" t="s">
        <v>797</v>
      </c>
      <c r="G167" s="386" t="s">
        <v>839</v>
      </c>
      <c r="H167" s="381">
        <v>2</v>
      </c>
      <c r="I167" s="381">
        <v>10</v>
      </c>
      <c r="J167" s="381">
        <f t="shared" si="12"/>
        <v>2</v>
      </c>
      <c r="K167" s="633">
        <f t="shared" si="13"/>
        <v>20</v>
      </c>
      <c r="L167" s="634">
        <f>IFERROR(IF(B167="funkcna poziadavka",VLOOKUP(G167,MODULY_CBA!$B$3:$E$23,4,0)*H167/SUMIFS($H$3:$H$197,$G$3:$G$197,G167,$B$3:$B$197,B167),),)</f>
        <v>0</v>
      </c>
      <c r="M167" s="633">
        <f>IFERROR(IF(B167="Funkcna poziadavka",VLOOKUP(G167,MODULY_CBA!$B$3:$E$23,3,0),),)</f>
        <v>0.99499999999999988</v>
      </c>
      <c r="N167" s="633">
        <f>IFERROR(IF(B167="funkcna poziadavka",VLOOKUP(G167,MODULY_CBA!$B$3:$E$23,2,0),),)</f>
        <v>0.99</v>
      </c>
      <c r="O167" s="634">
        <f t="shared" si="14"/>
        <v>19.700999999999997</v>
      </c>
      <c r="P167" s="635">
        <f>IFERROR(O167*VLOOKUP(G167,MODULY_CBA!$B$3:$F$23,5,0),)</f>
        <v>591.02999999999986</v>
      </c>
      <c r="Q167" s="471" t="str">
        <f>IFERROR(VLOOKUP(G167,MODULY_CBA!$B$3:$I$23,6,0),"")</f>
        <v>Inkrement 3</v>
      </c>
      <c r="R167" s="385"/>
      <c r="S167" s="385"/>
      <c r="T167" s="385"/>
      <c r="U167" s="385"/>
      <c r="V167" s="388"/>
      <c r="W167" s="378"/>
      <c r="X167" s="378"/>
      <c r="Y167" s="385"/>
      <c r="Z167" s="385"/>
      <c r="AA167" s="385"/>
      <c r="AB167" s="385"/>
      <c r="AC167" s="385"/>
      <c r="AD167" s="385"/>
      <c r="AE167" s="385"/>
      <c r="AF167" s="390"/>
      <c r="AG167" s="389"/>
    </row>
    <row r="168" spans="1:33" s="387" customFormat="1" ht="38.25">
      <c r="A168" s="393" t="s">
        <v>1050</v>
      </c>
      <c r="B168" s="393" t="s">
        <v>739</v>
      </c>
      <c r="C168" s="524" t="s">
        <v>795</v>
      </c>
      <c r="D168" s="386" t="s">
        <v>1186</v>
      </c>
      <c r="E168" s="525" t="s">
        <v>1303</v>
      </c>
      <c r="F168" s="386" t="s">
        <v>797</v>
      </c>
      <c r="G168" s="386" t="s">
        <v>839</v>
      </c>
      <c r="H168" s="381">
        <v>2</v>
      </c>
      <c r="I168" s="381">
        <v>10</v>
      </c>
      <c r="J168" s="381">
        <f t="shared" si="12"/>
        <v>2</v>
      </c>
      <c r="K168" s="633">
        <f t="shared" si="13"/>
        <v>20</v>
      </c>
      <c r="L168" s="634">
        <f>IFERROR(IF(B168="funkcna poziadavka",VLOOKUP(G168,MODULY_CBA!$B$3:$E$23,4,0)*H168/SUMIFS($H$3:$H$197,$G$3:$G$197,G168,$B$3:$B$197,B168),),)</f>
        <v>0</v>
      </c>
      <c r="M168" s="633">
        <f>IFERROR(IF(B168="Funkcna poziadavka",VLOOKUP(G168,MODULY_CBA!$B$3:$E$23,3,0),),)</f>
        <v>0.99499999999999988</v>
      </c>
      <c r="N168" s="633">
        <f>IFERROR(IF(B168="funkcna poziadavka",VLOOKUP(G168,MODULY_CBA!$B$3:$E$23,2,0),),)</f>
        <v>0.99</v>
      </c>
      <c r="O168" s="634">
        <f t="shared" si="14"/>
        <v>19.700999999999997</v>
      </c>
      <c r="P168" s="635">
        <f>IFERROR(O168*VLOOKUP(G168,MODULY_CBA!$B$3:$F$23,5,0),)</f>
        <v>591.02999999999986</v>
      </c>
      <c r="Q168" s="471" t="str">
        <f>IFERROR(VLOOKUP(G168,MODULY_CBA!$B$3:$I$23,6,0),"")</f>
        <v>Inkrement 3</v>
      </c>
      <c r="R168" s="385"/>
      <c r="S168" s="385"/>
      <c r="T168" s="385"/>
      <c r="U168" s="385"/>
      <c r="V168" s="388"/>
      <c r="W168" s="378"/>
      <c r="X168" s="378"/>
      <c r="Y168" s="385"/>
      <c r="Z168" s="385"/>
      <c r="AA168" s="385"/>
      <c r="AB168" s="385"/>
      <c r="AC168" s="385"/>
      <c r="AD168" s="385"/>
      <c r="AE168" s="385"/>
      <c r="AF168" s="390"/>
      <c r="AG168" s="389"/>
    </row>
    <row r="169" spans="1:33" s="387" customFormat="1" ht="38.25">
      <c r="A169" s="393" t="s">
        <v>1051</v>
      </c>
      <c r="B169" s="393" t="s">
        <v>739</v>
      </c>
      <c r="C169" s="524" t="s">
        <v>795</v>
      </c>
      <c r="D169" s="386" t="s">
        <v>1187</v>
      </c>
      <c r="E169" s="525" t="s">
        <v>1304</v>
      </c>
      <c r="F169" s="386" t="s">
        <v>797</v>
      </c>
      <c r="G169" s="386" t="s">
        <v>1323</v>
      </c>
      <c r="H169" s="381">
        <v>2</v>
      </c>
      <c r="I169" s="381">
        <v>10</v>
      </c>
      <c r="J169" s="381">
        <f t="shared" si="12"/>
        <v>2</v>
      </c>
      <c r="K169" s="633">
        <f t="shared" si="13"/>
        <v>20</v>
      </c>
      <c r="L169" s="634">
        <f>IFERROR(IF(B169="funkcna poziadavka",VLOOKUP(G169,MODULY_CBA!$B$3:$E$23,4,0)*H169/SUMIFS($H$3:$H$197,$G$3:$G$197,G169,$B$3:$B$197,B169),),)</f>
        <v>0</v>
      </c>
      <c r="M169" s="633">
        <f>IFERROR(IF(B169="Funkcna poziadavka",VLOOKUP(G169,MODULY_CBA!$B$3:$E$23,3,0),),)</f>
        <v>0.99499999999999988</v>
      </c>
      <c r="N169" s="633">
        <f>IFERROR(IF(B169="funkcna poziadavka",VLOOKUP(G169,MODULY_CBA!$B$3:$E$23,2,0),),)</f>
        <v>0.99</v>
      </c>
      <c r="O169" s="634">
        <f t="shared" si="14"/>
        <v>19.700999999999997</v>
      </c>
      <c r="P169" s="635">
        <f>IFERROR(O169*VLOOKUP(G169,MODULY_CBA!$B$3:$F$23,5,0),)</f>
        <v>591.02999999999986</v>
      </c>
      <c r="Q169" s="471" t="str">
        <f>IFERROR(VLOOKUP(G169,MODULY_CBA!$B$3:$I$23,6,0),"")</f>
        <v>Inkrement 3</v>
      </c>
      <c r="R169" s="385"/>
      <c r="S169" s="385"/>
      <c r="T169" s="385"/>
      <c r="U169" s="385"/>
      <c r="V169" s="388"/>
      <c r="W169" s="378"/>
      <c r="X169" s="378"/>
      <c r="Y169" s="385"/>
      <c r="Z169" s="385"/>
      <c r="AA169" s="385"/>
      <c r="AB169" s="385"/>
      <c r="AC169" s="385"/>
      <c r="AD169" s="385"/>
      <c r="AE169" s="385"/>
      <c r="AF169" s="390"/>
      <c r="AG169" s="389"/>
    </row>
    <row r="170" spans="1:33" s="387" customFormat="1" ht="38.25">
      <c r="A170" s="393" t="s">
        <v>1052</v>
      </c>
      <c r="B170" s="393" t="s">
        <v>739</v>
      </c>
      <c r="C170" s="524" t="s">
        <v>795</v>
      </c>
      <c r="D170" s="386" t="s">
        <v>1188</v>
      </c>
      <c r="E170" s="525" t="s">
        <v>1305</v>
      </c>
      <c r="F170" s="386" t="s">
        <v>797</v>
      </c>
      <c r="G170" s="386" t="s">
        <v>1323</v>
      </c>
      <c r="H170" s="381">
        <v>2</v>
      </c>
      <c r="I170" s="381">
        <v>10</v>
      </c>
      <c r="J170" s="381">
        <f t="shared" si="12"/>
        <v>2</v>
      </c>
      <c r="K170" s="633">
        <f t="shared" si="13"/>
        <v>20</v>
      </c>
      <c r="L170" s="634">
        <f>IFERROR(IF(B170="funkcna poziadavka",VLOOKUP(G170,MODULY_CBA!$B$3:$E$23,4,0)*H170/SUMIFS($H$3:$H$197,$G$3:$G$197,G170,$B$3:$B$197,B170),),)</f>
        <v>0</v>
      </c>
      <c r="M170" s="633">
        <f>IFERROR(IF(B170="Funkcna poziadavka",VLOOKUP(G170,MODULY_CBA!$B$3:$E$23,3,0),),)</f>
        <v>0.99499999999999988</v>
      </c>
      <c r="N170" s="633">
        <f>IFERROR(IF(B170="funkcna poziadavka",VLOOKUP(G170,MODULY_CBA!$B$3:$E$23,2,0),),)</f>
        <v>0.99</v>
      </c>
      <c r="O170" s="634">
        <f t="shared" si="14"/>
        <v>19.700999999999997</v>
      </c>
      <c r="P170" s="635">
        <f>IFERROR(O170*VLOOKUP(G170,MODULY_CBA!$B$3:$F$23,5,0),)</f>
        <v>591.02999999999986</v>
      </c>
      <c r="Q170" s="471" t="str">
        <f>IFERROR(VLOOKUP(G170,MODULY_CBA!$B$3:$I$23,6,0),"")</f>
        <v>Inkrement 3</v>
      </c>
      <c r="R170" s="385"/>
      <c r="S170" s="385"/>
      <c r="T170" s="385"/>
      <c r="U170" s="385"/>
      <c r="V170" s="388"/>
      <c r="W170" s="378"/>
      <c r="X170" s="378"/>
      <c r="Y170" s="385"/>
      <c r="Z170" s="385"/>
      <c r="AA170" s="385"/>
      <c r="AB170" s="385"/>
      <c r="AC170" s="385"/>
      <c r="AD170" s="385"/>
      <c r="AE170" s="385"/>
      <c r="AF170" s="390"/>
      <c r="AG170" s="389"/>
    </row>
    <row r="171" spans="1:33" s="387" customFormat="1" ht="38.25">
      <c r="A171" s="393" t="s">
        <v>1053</v>
      </c>
      <c r="B171" s="393" t="s">
        <v>739</v>
      </c>
      <c r="C171" s="524" t="s">
        <v>795</v>
      </c>
      <c r="D171" s="386" t="s">
        <v>1189</v>
      </c>
      <c r="E171" s="525" t="s">
        <v>1306</v>
      </c>
      <c r="F171" s="386" t="s">
        <v>797</v>
      </c>
      <c r="G171" s="386" t="s">
        <v>1323</v>
      </c>
      <c r="H171" s="381">
        <v>2</v>
      </c>
      <c r="I171" s="381">
        <v>10</v>
      </c>
      <c r="J171" s="381">
        <f t="shared" si="12"/>
        <v>2</v>
      </c>
      <c r="K171" s="633">
        <f t="shared" si="13"/>
        <v>20</v>
      </c>
      <c r="L171" s="634">
        <f>IFERROR(IF(B171="funkcna poziadavka",VLOOKUP(G171,MODULY_CBA!$B$3:$E$23,4,0)*H171/SUMIFS($H$3:$H$197,$G$3:$G$197,G171,$B$3:$B$197,B171),),)</f>
        <v>0</v>
      </c>
      <c r="M171" s="633">
        <f>IFERROR(IF(B171="Funkcna poziadavka",VLOOKUP(G171,MODULY_CBA!$B$3:$E$23,3,0),),)</f>
        <v>0.99499999999999988</v>
      </c>
      <c r="N171" s="633">
        <f>IFERROR(IF(B171="funkcna poziadavka",VLOOKUP(G171,MODULY_CBA!$B$3:$E$23,2,0),),)</f>
        <v>0.99</v>
      </c>
      <c r="O171" s="634">
        <f t="shared" si="14"/>
        <v>19.700999999999997</v>
      </c>
      <c r="P171" s="635">
        <f>IFERROR(O171*VLOOKUP(G171,MODULY_CBA!$B$3:$F$23,5,0),)</f>
        <v>591.02999999999986</v>
      </c>
      <c r="Q171" s="471" t="str">
        <f>IFERROR(VLOOKUP(G171,MODULY_CBA!$B$3:$I$23,6,0),"")</f>
        <v>Inkrement 3</v>
      </c>
      <c r="R171" s="385"/>
      <c r="S171" s="385"/>
      <c r="T171" s="385"/>
      <c r="U171" s="385"/>
      <c r="V171" s="388"/>
      <c r="W171" s="378"/>
      <c r="X171" s="378"/>
      <c r="Y171" s="385"/>
      <c r="Z171" s="385"/>
      <c r="AA171" s="385"/>
      <c r="AB171" s="385"/>
      <c r="AC171" s="385"/>
      <c r="AD171" s="385"/>
      <c r="AE171" s="385"/>
      <c r="AF171" s="390"/>
      <c r="AG171" s="389"/>
    </row>
    <row r="172" spans="1:33">
      <c r="A172" s="393"/>
      <c r="B172" s="393"/>
      <c r="C172" s="524"/>
      <c r="D172" s="524"/>
      <c r="E172" s="524"/>
      <c r="F172" s="384"/>
      <c r="G172" s="384"/>
      <c r="H172" s="639"/>
      <c r="I172" s="639"/>
      <c r="J172" s="381">
        <f t="shared" ref="J172:J231" si="15">IF(ISNUMBER(H172),H172,)</f>
        <v>0</v>
      </c>
      <c r="K172" s="381">
        <f t="shared" ref="K172:K231" si="16">H172*I172</f>
        <v>0</v>
      </c>
      <c r="L172" s="634">
        <f>IFERROR(IF(B172="funkcna poziadavka",VLOOKUP(G172,MODULY_CBA!$B$3:$E$23,4,0)*H172/SUMIFS($H$3:$H$197,$G$3:$G$197,G172,$B$3:$B$197,B172),),)</f>
        <v>0</v>
      </c>
      <c r="M172" s="381">
        <f>IFERROR(IF(B172="Funkcna poziadavka",VLOOKUP(G172,MODULY_CBA!$B$3:$E$23,3,0),),)</f>
        <v>0</v>
      </c>
      <c r="N172" s="381">
        <f>IFERROR(IF(B172="funkcna poziadavka",VLOOKUP(G172,MODULY_CBA!$B$3:$E$23,2,0),),)</f>
        <v>0</v>
      </c>
      <c r="O172" s="380">
        <f t="shared" ref="O172:O231" si="17">(K172+L172)*M172*N172</f>
        <v>0</v>
      </c>
      <c r="P172" s="379">
        <f>IFERROR(O172*VLOOKUP(G172,MODULY_CBA!$B$3:$F$23,5,0),)</f>
        <v>0</v>
      </c>
      <c r="Q172" s="471" t="str">
        <f>IFERROR(VLOOKUP(G172,MODULY_CBA!$B$3:$I$23,6,0),"")</f>
        <v/>
      </c>
      <c r="R172" s="383"/>
      <c r="S172" s="383"/>
      <c r="T172" s="383"/>
      <c r="U172" s="383"/>
      <c r="V172" s="383"/>
      <c r="W172" s="383"/>
      <c r="X172" s="383"/>
      <c r="Y172" s="383"/>
      <c r="Z172" s="383"/>
      <c r="AA172" s="383"/>
      <c r="AB172" s="383"/>
      <c r="AC172" s="383"/>
      <c r="AD172" s="383"/>
      <c r="AE172" s="383"/>
      <c r="AF172" s="377"/>
    </row>
    <row r="173" spans="1:33">
      <c r="A173" s="393"/>
      <c r="B173" s="393"/>
      <c r="C173" s="524"/>
      <c r="D173" s="524"/>
      <c r="E173" s="524"/>
      <c r="F173" s="384"/>
      <c r="G173" s="384"/>
      <c r="H173" s="639"/>
      <c r="I173" s="639"/>
      <c r="J173" s="381">
        <f t="shared" si="15"/>
        <v>0</v>
      </c>
      <c r="K173" s="381">
        <f t="shared" si="16"/>
        <v>0</v>
      </c>
      <c r="L173" s="634">
        <f>IFERROR(IF(B173="funkcna poziadavka",VLOOKUP(G173,MODULY_CBA!$B$3:$E$23,4,0)*H173/SUMIFS($H$3:$H$197,$G$3:$G$197,G173,$B$3:$B$197,B173),),)</f>
        <v>0</v>
      </c>
      <c r="M173" s="381">
        <f>IFERROR(IF(B173="Funkcna poziadavka",VLOOKUP(G173,MODULY_CBA!$B$3:$E$23,3,0),),)</f>
        <v>0</v>
      </c>
      <c r="N173" s="381">
        <f>IFERROR(IF(B173="funkcna poziadavka",VLOOKUP(G173,MODULY_CBA!$B$3:$E$23,2,0),),)</f>
        <v>0</v>
      </c>
      <c r="O173" s="380">
        <f t="shared" si="17"/>
        <v>0</v>
      </c>
      <c r="P173" s="379">
        <f>IFERROR(O173*VLOOKUP(G173,MODULY_CBA!$B$3:$F$23,5,0),)</f>
        <v>0</v>
      </c>
      <c r="Q173" s="471" t="str">
        <f>IFERROR(VLOOKUP(G173,MODULY_CBA!$B$3:$I$23,6,0),"")</f>
        <v/>
      </c>
      <c r="R173" s="383"/>
      <c r="S173" s="383"/>
      <c r="T173" s="383"/>
      <c r="U173" s="383"/>
      <c r="V173" s="383"/>
      <c r="W173" s="383"/>
      <c r="X173" s="383"/>
      <c r="Y173" s="383"/>
      <c r="Z173" s="383"/>
      <c r="AA173" s="383"/>
      <c r="AB173" s="383"/>
      <c r="AC173" s="383"/>
      <c r="AD173" s="383"/>
      <c r="AE173" s="383"/>
      <c r="AF173" s="377"/>
    </row>
    <row r="174" spans="1:33">
      <c r="A174" s="393"/>
      <c r="B174" s="393"/>
      <c r="C174" s="524"/>
      <c r="D174" s="524"/>
      <c r="E174" s="524"/>
      <c r="F174" s="384"/>
      <c r="G174" s="384"/>
      <c r="H174" s="639"/>
      <c r="I174" s="639"/>
      <c r="J174" s="381">
        <f t="shared" si="15"/>
        <v>0</v>
      </c>
      <c r="K174" s="381">
        <f t="shared" si="16"/>
        <v>0</v>
      </c>
      <c r="L174" s="634">
        <f>IFERROR(IF(B174="funkcna poziadavka",VLOOKUP(G174,MODULY_CBA!$B$3:$E$23,4,0)*H174/SUMIFS($H$3:$H$197,$G$3:$G$197,G174,$B$3:$B$197,B174),),)</f>
        <v>0</v>
      </c>
      <c r="M174" s="381">
        <f>IFERROR(IF(B174="Funkcna poziadavka",VLOOKUP(G174,MODULY_CBA!$B$3:$E$23,3,0),),)</f>
        <v>0</v>
      </c>
      <c r="N174" s="381">
        <f>IFERROR(IF(B174="funkcna poziadavka",VLOOKUP(G174,MODULY_CBA!$B$3:$E$23,2,0),),)</f>
        <v>0</v>
      </c>
      <c r="O174" s="380">
        <f t="shared" si="17"/>
        <v>0</v>
      </c>
      <c r="P174" s="379">
        <f>IFERROR(O174*VLOOKUP(G174,MODULY_CBA!$B$3:$F$23,5,0),)</f>
        <v>0</v>
      </c>
      <c r="Q174" s="471" t="str">
        <f>IFERROR(VLOOKUP(G174,MODULY_CBA!$B$3:$I$23,6,0),"")</f>
        <v/>
      </c>
      <c r="R174" s="383"/>
      <c r="S174" s="383"/>
      <c r="T174" s="383"/>
      <c r="U174" s="383"/>
      <c r="V174" s="383"/>
      <c r="W174" s="383"/>
      <c r="X174" s="383"/>
      <c r="Y174" s="383"/>
      <c r="Z174" s="383"/>
      <c r="AA174" s="383"/>
      <c r="AB174" s="383"/>
      <c r="AC174" s="383"/>
      <c r="AD174" s="383"/>
      <c r="AE174" s="383"/>
      <c r="AF174" s="377"/>
    </row>
    <row r="175" spans="1:33">
      <c r="A175" s="393"/>
      <c r="B175" s="393"/>
      <c r="C175" s="524"/>
      <c r="D175" s="524"/>
      <c r="E175" s="524"/>
      <c r="F175" s="384"/>
      <c r="G175" s="384"/>
      <c r="H175" s="639"/>
      <c r="I175" s="639"/>
      <c r="J175" s="381">
        <f t="shared" si="15"/>
        <v>0</v>
      </c>
      <c r="K175" s="381">
        <f t="shared" si="16"/>
        <v>0</v>
      </c>
      <c r="L175" s="634">
        <f>IFERROR(IF(B175="funkcna poziadavka",VLOOKUP(G175,MODULY_CBA!$B$3:$E$23,4,0)*H175/SUMIFS($H$3:$H$197,$G$3:$G$197,G175,$B$3:$B$197,B175),),)</f>
        <v>0</v>
      </c>
      <c r="M175" s="381">
        <f>IFERROR(IF(B175="Funkcna poziadavka",VLOOKUP(G175,MODULY_CBA!$B$3:$E$23,3,0),),)</f>
        <v>0</v>
      </c>
      <c r="N175" s="381">
        <f>IFERROR(IF(B175="funkcna poziadavka",VLOOKUP(G175,MODULY_CBA!$B$3:$E$23,2,0),),)</f>
        <v>0</v>
      </c>
      <c r="O175" s="380">
        <f t="shared" si="17"/>
        <v>0</v>
      </c>
      <c r="P175" s="379">
        <f>IFERROR(O175*VLOOKUP(G175,MODULY_CBA!$B$3:$F$23,5,0),)</f>
        <v>0</v>
      </c>
      <c r="Q175" s="471" t="str">
        <f>IFERROR(VLOOKUP(G175,MODULY_CBA!$B$3:$I$23,6,0),"")</f>
        <v/>
      </c>
      <c r="R175" s="383"/>
      <c r="S175" s="383"/>
      <c r="T175" s="383"/>
      <c r="U175" s="383"/>
      <c r="V175" s="383"/>
      <c r="W175" s="383"/>
      <c r="X175" s="383"/>
      <c r="Y175" s="383"/>
      <c r="Z175" s="383"/>
      <c r="AA175" s="383"/>
      <c r="AB175" s="383"/>
      <c r="AC175" s="383"/>
      <c r="AD175" s="383"/>
      <c r="AE175" s="383"/>
      <c r="AF175" s="377"/>
    </row>
    <row r="176" spans="1:33">
      <c r="A176" s="393"/>
      <c r="B176" s="393"/>
      <c r="C176" s="524"/>
      <c r="D176" s="524"/>
      <c r="E176" s="524"/>
      <c r="F176" s="384"/>
      <c r="G176" s="384"/>
      <c r="H176" s="639"/>
      <c r="I176" s="639"/>
      <c r="J176" s="381">
        <f t="shared" si="15"/>
        <v>0</v>
      </c>
      <c r="K176" s="381">
        <f t="shared" si="16"/>
        <v>0</v>
      </c>
      <c r="L176" s="634">
        <f>IFERROR(IF(B176="funkcna poziadavka",VLOOKUP(G176,MODULY_CBA!$B$3:$E$23,4,0)*H176/SUMIFS($H$3:$H$197,$G$3:$G$197,G176,$B$3:$B$197,B176),),)</f>
        <v>0</v>
      </c>
      <c r="M176" s="381">
        <f>IFERROR(IF(B176="Funkcna poziadavka",VLOOKUP(G176,MODULY_CBA!$B$3:$E$23,3,0),),)</f>
        <v>0</v>
      </c>
      <c r="N176" s="381">
        <f>IFERROR(IF(B176="funkcna poziadavka",VLOOKUP(G176,MODULY_CBA!$B$3:$E$23,2,0),),)</f>
        <v>0</v>
      </c>
      <c r="O176" s="380">
        <f t="shared" si="17"/>
        <v>0</v>
      </c>
      <c r="P176" s="379">
        <f>IFERROR(O176*VLOOKUP(G176,MODULY_CBA!$B$3:$F$23,5,0),)</f>
        <v>0</v>
      </c>
      <c r="Q176" s="471" t="str">
        <f>IFERROR(VLOOKUP(G176,MODULY_CBA!$B$3:$I$23,6,0),"")</f>
        <v/>
      </c>
      <c r="R176" s="383"/>
      <c r="S176" s="383"/>
      <c r="T176" s="383"/>
      <c r="U176" s="383"/>
      <c r="V176" s="383"/>
      <c r="W176" s="383"/>
      <c r="X176" s="383"/>
      <c r="Y176" s="383"/>
      <c r="Z176" s="383"/>
      <c r="AA176" s="383"/>
      <c r="AB176" s="383"/>
      <c r="AC176" s="383"/>
      <c r="AD176" s="383"/>
      <c r="AE176" s="383"/>
      <c r="AF176" s="377"/>
    </row>
    <row r="177" spans="1:32">
      <c r="A177" s="393"/>
      <c r="B177" s="393"/>
      <c r="C177" s="524"/>
      <c r="D177" s="524"/>
      <c r="E177" s="524"/>
      <c r="F177" s="384"/>
      <c r="G177" s="384"/>
      <c r="H177" s="639"/>
      <c r="I177" s="639"/>
      <c r="J177" s="381">
        <f t="shared" si="15"/>
        <v>0</v>
      </c>
      <c r="K177" s="381">
        <f t="shared" si="16"/>
        <v>0</v>
      </c>
      <c r="L177" s="634">
        <f>IFERROR(IF(B177="funkcna poziadavka",VLOOKUP(G177,MODULY_CBA!$B$3:$E$23,4,0)*H177/SUMIFS($H$3:$H$197,$G$3:$G$197,G177,$B$3:$B$197,B177),),)</f>
        <v>0</v>
      </c>
      <c r="M177" s="381">
        <f>IFERROR(IF(B177="Funkcna poziadavka",VLOOKUP(G177,MODULY_CBA!$B$3:$E$23,3,0),),)</f>
        <v>0</v>
      </c>
      <c r="N177" s="381">
        <f>IFERROR(IF(B177="funkcna poziadavka",VLOOKUP(G177,MODULY_CBA!$B$3:$E$23,2,0),),)</f>
        <v>0</v>
      </c>
      <c r="O177" s="380">
        <f t="shared" si="17"/>
        <v>0</v>
      </c>
      <c r="P177" s="379">
        <f>IFERROR(O177*VLOOKUP(G177,MODULY_CBA!$B$3:$F$23,5,0),)</f>
        <v>0</v>
      </c>
      <c r="Q177" s="471" t="str">
        <f>IFERROR(VLOOKUP(G177,MODULY_CBA!$B$3:$I$23,6,0),"")</f>
        <v/>
      </c>
      <c r="R177" s="383"/>
      <c r="S177" s="383"/>
      <c r="T177" s="383"/>
      <c r="U177" s="383"/>
      <c r="V177" s="383"/>
      <c r="W177" s="383"/>
      <c r="X177" s="383"/>
      <c r="Y177" s="383"/>
      <c r="Z177" s="383"/>
      <c r="AA177" s="383"/>
      <c r="AB177" s="383"/>
      <c r="AC177" s="383"/>
      <c r="AD177" s="383"/>
      <c r="AE177" s="383"/>
      <c r="AF177" s="377"/>
    </row>
    <row r="178" spans="1:32">
      <c r="A178" s="393"/>
      <c r="B178" s="393"/>
      <c r="C178" s="524"/>
      <c r="D178" s="524"/>
      <c r="E178" s="524"/>
      <c r="F178" s="384"/>
      <c r="G178" s="384"/>
      <c r="H178" s="639"/>
      <c r="I178" s="639"/>
      <c r="J178" s="381">
        <f t="shared" si="15"/>
        <v>0</v>
      </c>
      <c r="K178" s="381">
        <f t="shared" si="16"/>
        <v>0</v>
      </c>
      <c r="L178" s="634">
        <f>IFERROR(IF(B178="funkcna poziadavka",VLOOKUP(G178,MODULY_CBA!$B$3:$E$23,4,0)*H178/SUMIFS($H$3:$H$197,$G$3:$G$197,G178,$B$3:$B$197,B178),),)</f>
        <v>0</v>
      </c>
      <c r="M178" s="381">
        <f>IFERROR(IF(B178="Funkcna poziadavka",VLOOKUP(G178,MODULY_CBA!$B$3:$E$23,3,0),),)</f>
        <v>0</v>
      </c>
      <c r="N178" s="381">
        <f>IFERROR(IF(B178="funkcna poziadavka",VLOOKUP(G178,MODULY_CBA!$B$3:$E$23,2,0),),)</f>
        <v>0</v>
      </c>
      <c r="O178" s="380">
        <f t="shared" si="17"/>
        <v>0</v>
      </c>
      <c r="P178" s="379">
        <f>IFERROR(O178*VLOOKUP(G178,MODULY_CBA!$B$3:$F$23,5,0),)</f>
        <v>0</v>
      </c>
      <c r="Q178" s="471" t="str">
        <f>IFERROR(VLOOKUP(G178,MODULY_CBA!$B$3:$I$23,6,0),"")</f>
        <v/>
      </c>
      <c r="R178" s="383"/>
      <c r="S178" s="383"/>
      <c r="T178" s="383"/>
      <c r="U178" s="383"/>
      <c r="V178" s="383"/>
      <c r="W178" s="383"/>
      <c r="X178" s="383"/>
      <c r="Y178" s="383"/>
      <c r="Z178" s="383"/>
      <c r="AA178" s="383"/>
      <c r="AB178" s="383"/>
      <c r="AC178" s="383"/>
      <c r="AD178" s="383"/>
      <c r="AE178" s="383"/>
      <c r="AF178" s="377"/>
    </row>
    <row r="179" spans="1:32">
      <c r="A179" s="393"/>
      <c r="B179" s="393"/>
      <c r="C179" s="524"/>
      <c r="D179" s="524"/>
      <c r="E179" s="524"/>
      <c r="F179" s="384"/>
      <c r="G179" s="384"/>
      <c r="H179" s="639"/>
      <c r="I179" s="639"/>
      <c r="J179" s="381">
        <f t="shared" si="15"/>
        <v>0</v>
      </c>
      <c r="K179" s="381">
        <f t="shared" si="16"/>
        <v>0</v>
      </c>
      <c r="L179" s="634">
        <f>IFERROR(IF(B179="funkcna poziadavka",VLOOKUP(G179,MODULY_CBA!$B$3:$E$23,4,0)*H179/SUMIFS($H$3:$H$197,$G$3:$G$197,G179,$B$3:$B$197,B179),),)</f>
        <v>0</v>
      </c>
      <c r="M179" s="381">
        <f>IFERROR(IF(B179="Funkcna poziadavka",VLOOKUP(G179,MODULY_CBA!$B$3:$E$23,3,0),),)</f>
        <v>0</v>
      </c>
      <c r="N179" s="381">
        <f>IFERROR(IF(B179="funkcna poziadavka",VLOOKUP(G179,MODULY_CBA!$B$3:$E$23,2,0),),)</f>
        <v>0</v>
      </c>
      <c r="O179" s="380">
        <f t="shared" si="17"/>
        <v>0</v>
      </c>
      <c r="P179" s="379">
        <f>IFERROR(O179*VLOOKUP(G179,MODULY_CBA!$B$3:$F$23,5,0),)</f>
        <v>0</v>
      </c>
      <c r="Q179" s="471" t="str">
        <f>IFERROR(VLOOKUP(G179,MODULY_CBA!$B$3:$I$23,6,0),"")</f>
        <v/>
      </c>
      <c r="R179" s="383"/>
      <c r="S179" s="383"/>
      <c r="T179" s="383"/>
      <c r="U179" s="383"/>
      <c r="V179" s="383"/>
      <c r="W179" s="383"/>
      <c r="X179" s="383"/>
      <c r="Y179" s="383"/>
      <c r="Z179" s="383"/>
      <c r="AA179" s="383"/>
      <c r="AB179" s="383"/>
      <c r="AC179" s="383"/>
      <c r="AD179" s="383"/>
      <c r="AE179" s="383"/>
      <c r="AF179" s="377"/>
    </row>
    <row r="180" spans="1:32">
      <c r="A180" s="393"/>
      <c r="B180" s="393"/>
      <c r="C180" s="524"/>
      <c r="D180" s="524"/>
      <c r="E180" s="524"/>
      <c r="F180" s="384"/>
      <c r="G180" s="384"/>
      <c r="H180" s="639"/>
      <c r="I180" s="639"/>
      <c r="J180" s="381">
        <f t="shared" si="15"/>
        <v>0</v>
      </c>
      <c r="K180" s="381">
        <f t="shared" si="16"/>
        <v>0</v>
      </c>
      <c r="L180" s="634">
        <f>IFERROR(IF(B180="funkcna poziadavka",VLOOKUP(G180,MODULY_CBA!$B$3:$E$23,4,0)*H180/SUMIFS($H$3:$H$197,$G$3:$G$197,G180,$B$3:$B$197,B180),),)</f>
        <v>0</v>
      </c>
      <c r="M180" s="381">
        <f>IFERROR(IF(B180="Funkcna poziadavka",VLOOKUP(G180,MODULY_CBA!$B$3:$E$23,3,0),),)</f>
        <v>0</v>
      </c>
      <c r="N180" s="381">
        <f>IFERROR(IF(B180="funkcna poziadavka",VLOOKUP(G180,MODULY_CBA!$B$3:$E$23,2,0),),)</f>
        <v>0</v>
      </c>
      <c r="O180" s="380">
        <f t="shared" si="17"/>
        <v>0</v>
      </c>
      <c r="P180" s="379">
        <f>IFERROR(O180*VLOOKUP(G180,MODULY_CBA!$B$3:$F$23,5,0),)</f>
        <v>0</v>
      </c>
      <c r="Q180" s="471" t="str">
        <f>IFERROR(VLOOKUP(G180,MODULY_CBA!$B$3:$I$23,6,0),"")</f>
        <v/>
      </c>
      <c r="R180" s="383"/>
      <c r="S180" s="383"/>
      <c r="T180" s="383"/>
      <c r="U180" s="383"/>
      <c r="V180" s="383"/>
      <c r="W180" s="383"/>
      <c r="X180" s="383"/>
      <c r="Y180" s="383"/>
      <c r="Z180" s="383"/>
      <c r="AA180" s="383"/>
      <c r="AB180" s="383"/>
      <c r="AC180" s="383"/>
      <c r="AD180" s="383"/>
      <c r="AE180" s="383"/>
      <c r="AF180" s="377"/>
    </row>
    <row r="181" spans="1:32">
      <c r="A181" s="393"/>
      <c r="B181" s="393"/>
      <c r="C181" s="524"/>
      <c r="D181" s="524"/>
      <c r="E181" s="524"/>
      <c r="F181" s="384"/>
      <c r="G181" s="384"/>
      <c r="H181" s="639"/>
      <c r="I181" s="639"/>
      <c r="J181" s="381">
        <f t="shared" si="15"/>
        <v>0</v>
      </c>
      <c r="K181" s="381">
        <f t="shared" si="16"/>
        <v>0</v>
      </c>
      <c r="L181" s="634">
        <f>IFERROR(IF(B181="funkcna poziadavka",VLOOKUP(G181,MODULY_CBA!$B$3:$E$23,4,0)*H181/SUMIFS($H$3:$H$197,$G$3:$G$197,G181,$B$3:$B$197,B181),),)</f>
        <v>0</v>
      </c>
      <c r="M181" s="381">
        <f>IFERROR(IF(B181="Funkcna poziadavka",VLOOKUP(G181,MODULY_CBA!$B$3:$E$23,3,0),),)</f>
        <v>0</v>
      </c>
      <c r="N181" s="381">
        <f>IFERROR(IF(B181="funkcna poziadavka",VLOOKUP(G181,MODULY_CBA!$B$3:$E$23,2,0),),)</f>
        <v>0</v>
      </c>
      <c r="O181" s="380">
        <f t="shared" si="17"/>
        <v>0</v>
      </c>
      <c r="P181" s="379">
        <f>IFERROR(O181*VLOOKUP(G181,MODULY_CBA!$B$3:$F$23,5,0),)</f>
        <v>0</v>
      </c>
      <c r="Q181" s="471" t="str">
        <f>IFERROR(VLOOKUP(G181,MODULY_CBA!$B$3:$I$23,6,0),"")</f>
        <v/>
      </c>
      <c r="R181" s="383"/>
      <c r="S181" s="383"/>
      <c r="T181" s="383"/>
      <c r="U181" s="383"/>
      <c r="V181" s="383"/>
      <c r="W181" s="383"/>
      <c r="X181" s="383"/>
      <c r="Y181" s="383"/>
      <c r="Z181" s="383"/>
      <c r="AA181" s="383"/>
      <c r="AB181" s="383"/>
      <c r="AC181" s="383"/>
      <c r="AD181" s="383"/>
      <c r="AE181" s="383"/>
      <c r="AF181" s="377"/>
    </row>
    <row r="182" spans="1:32">
      <c r="A182" s="393"/>
      <c r="B182" s="393"/>
      <c r="C182" s="524"/>
      <c r="D182" s="524"/>
      <c r="E182" s="524"/>
      <c r="F182" s="384"/>
      <c r="G182" s="384"/>
      <c r="H182" s="639"/>
      <c r="I182" s="639"/>
      <c r="J182" s="381">
        <f t="shared" si="15"/>
        <v>0</v>
      </c>
      <c r="K182" s="381">
        <f t="shared" si="16"/>
        <v>0</v>
      </c>
      <c r="L182" s="634">
        <f>IFERROR(IF(B182="funkcna poziadavka",VLOOKUP(G182,MODULY_CBA!$B$3:$E$23,4,0)*H182/SUMIFS($H$3:$H$197,$G$3:$G$197,G182,$B$3:$B$197,B182),),)</f>
        <v>0</v>
      </c>
      <c r="M182" s="381">
        <f>IFERROR(IF(B182="Funkcna poziadavka",VLOOKUP(G182,MODULY_CBA!$B$3:$E$23,3,0),),)</f>
        <v>0</v>
      </c>
      <c r="N182" s="381">
        <f>IFERROR(IF(B182="funkcna poziadavka",VLOOKUP(G182,MODULY_CBA!$B$3:$E$23,2,0),),)</f>
        <v>0</v>
      </c>
      <c r="O182" s="380">
        <f t="shared" si="17"/>
        <v>0</v>
      </c>
      <c r="P182" s="379">
        <f>IFERROR(O182*VLOOKUP(G182,MODULY_CBA!$B$3:$F$23,5,0),)</f>
        <v>0</v>
      </c>
      <c r="Q182" s="471" t="str">
        <f>IFERROR(VLOOKUP(G182,MODULY_CBA!$B$3:$I$23,6,0),"")</f>
        <v/>
      </c>
      <c r="R182" s="383"/>
      <c r="S182" s="383"/>
      <c r="T182" s="383"/>
      <c r="U182" s="383"/>
      <c r="V182" s="383"/>
      <c r="W182" s="383"/>
      <c r="X182" s="383"/>
      <c r="Y182" s="383"/>
      <c r="Z182" s="383"/>
      <c r="AA182" s="383"/>
      <c r="AB182" s="383"/>
      <c r="AC182" s="383"/>
      <c r="AD182" s="383"/>
      <c r="AE182" s="383"/>
      <c r="AF182" s="377"/>
    </row>
    <row r="183" spans="1:32">
      <c r="A183" s="393"/>
      <c r="B183" s="393"/>
      <c r="C183" s="524"/>
      <c r="D183" s="524"/>
      <c r="E183" s="524"/>
      <c r="F183" s="384"/>
      <c r="G183" s="384"/>
      <c r="H183" s="639"/>
      <c r="I183" s="639"/>
      <c r="J183" s="381">
        <f t="shared" si="15"/>
        <v>0</v>
      </c>
      <c r="K183" s="381">
        <f t="shared" si="16"/>
        <v>0</v>
      </c>
      <c r="L183" s="634">
        <f>IFERROR(IF(B183="funkcna poziadavka",VLOOKUP(G183,MODULY_CBA!$B$3:$E$23,4,0)*H183/SUMIFS($H$3:$H$197,$G$3:$G$197,G183,$B$3:$B$197,B183),),)</f>
        <v>0</v>
      </c>
      <c r="M183" s="381">
        <f>IFERROR(IF(B183="Funkcna poziadavka",VLOOKUP(G183,MODULY_CBA!$B$3:$E$23,3,0),),)</f>
        <v>0</v>
      </c>
      <c r="N183" s="381">
        <f>IFERROR(IF(B183="funkcna poziadavka",VLOOKUP(G183,MODULY_CBA!$B$3:$E$23,2,0),),)</f>
        <v>0</v>
      </c>
      <c r="O183" s="380">
        <f t="shared" si="17"/>
        <v>0</v>
      </c>
      <c r="P183" s="379">
        <f>IFERROR(O183*VLOOKUP(G183,MODULY_CBA!$B$3:$F$23,5,0),)</f>
        <v>0</v>
      </c>
      <c r="Q183" s="471" t="str">
        <f>IFERROR(VLOOKUP(G183,MODULY_CBA!$B$3:$I$23,6,0),"")</f>
        <v/>
      </c>
      <c r="R183" s="383"/>
      <c r="S183" s="383"/>
      <c r="T183" s="383"/>
      <c r="U183" s="383"/>
      <c r="V183" s="383"/>
      <c r="W183" s="383"/>
      <c r="X183" s="383"/>
      <c r="Y183" s="383"/>
      <c r="Z183" s="383"/>
      <c r="AA183" s="383"/>
      <c r="AB183" s="383"/>
      <c r="AC183" s="383"/>
      <c r="AD183" s="383"/>
      <c r="AE183" s="383"/>
      <c r="AF183" s="377"/>
    </row>
    <row r="184" spans="1:32">
      <c r="A184" s="393"/>
      <c r="B184" s="393"/>
      <c r="C184" s="524"/>
      <c r="D184" s="524"/>
      <c r="E184" s="524"/>
      <c r="F184" s="384"/>
      <c r="G184" s="384"/>
      <c r="H184" s="639"/>
      <c r="I184" s="639"/>
      <c r="J184" s="381">
        <f t="shared" si="15"/>
        <v>0</v>
      </c>
      <c r="K184" s="381">
        <f t="shared" si="16"/>
        <v>0</v>
      </c>
      <c r="L184" s="634">
        <f>IFERROR(IF(B184="funkcna poziadavka",VLOOKUP(G184,MODULY_CBA!$B$3:$E$23,4,0)*H184/SUMIFS($H$3:$H$197,$G$3:$G$197,G184,$B$3:$B$197,B184),),)</f>
        <v>0</v>
      </c>
      <c r="M184" s="381">
        <f>IFERROR(IF(B184="Funkcna poziadavka",VLOOKUP(G184,MODULY_CBA!$B$3:$E$23,3,0),),)</f>
        <v>0</v>
      </c>
      <c r="N184" s="381">
        <f>IFERROR(IF(B184="funkcna poziadavka",VLOOKUP(G184,MODULY_CBA!$B$3:$E$23,2,0),),)</f>
        <v>0</v>
      </c>
      <c r="O184" s="380">
        <f t="shared" si="17"/>
        <v>0</v>
      </c>
      <c r="P184" s="379">
        <f>IFERROR(O184*VLOOKUP(G184,MODULY_CBA!$B$3:$F$23,5,0),)</f>
        <v>0</v>
      </c>
      <c r="Q184" s="471" t="str">
        <f>IFERROR(VLOOKUP(G184,MODULY_CBA!$B$3:$I$23,6,0),"")</f>
        <v/>
      </c>
      <c r="R184" s="383"/>
      <c r="S184" s="383"/>
      <c r="T184" s="383"/>
      <c r="U184" s="383"/>
      <c r="V184" s="383"/>
      <c r="W184" s="383"/>
      <c r="X184" s="383"/>
      <c r="Y184" s="383"/>
      <c r="Z184" s="383"/>
      <c r="AA184" s="383"/>
      <c r="AB184" s="383"/>
      <c r="AC184" s="383"/>
      <c r="AD184" s="383"/>
      <c r="AE184" s="383"/>
      <c r="AF184" s="377"/>
    </row>
    <row r="185" spans="1:32">
      <c r="A185" s="393"/>
      <c r="B185" s="393"/>
      <c r="C185" s="524"/>
      <c r="D185" s="524"/>
      <c r="E185" s="524"/>
      <c r="F185" s="384"/>
      <c r="G185" s="384"/>
      <c r="H185" s="639"/>
      <c r="I185" s="639"/>
      <c r="J185" s="381">
        <f t="shared" si="15"/>
        <v>0</v>
      </c>
      <c r="K185" s="381">
        <f t="shared" si="16"/>
        <v>0</v>
      </c>
      <c r="L185" s="634">
        <f>IFERROR(IF(B185="funkcna poziadavka",VLOOKUP(G185,MODULY_CBA!$B$3:$E$23,4,0)*H185/SUMIFS($H$3:$H$197,$G$3:$G$197,G185,$B$3:$B$197,B185),),)</f>
        <v>0</v>
      </c>
      <c r="M185" s="381">
        <f>IFERROR(IF(B185="Funkcna poziadavka",VLOOKUP(G185,MODULY_CBA!$B$3:$E$23,3,0),),)</f>
        <v>0</v>
      </c>
      <c r="N185" s="381">
        <f>IFERROR(IF(B185="funkcna poziadavka",VLOOKUP(G185,MODULY_CBA!$B$3:$E$23,2,0),),)</f>
        <v>0</v>
      </c>
      <c r="O185" s="380">
        <f t="shared" si="17"/>
        <v>0</v>
      </c>
      <c r="P185" s="379">
        <f>IFERROR(O185*VLOOKUP(G185,MODULY_CBA!$B$3:$F$23,5,0),)</f>
        <v>0</v>
      </c>
      <c r="Q185" s="471" t="str">
        <f>IFERROR(VLOOKUP(G185,MODULY_CBA!$B$3:$I$23,6,0),"")</f>
        <v/>
      </c>
      <c r="R185" s="383"/>
      <c r="S185" s="383"/>
      <c r="T185" s="383"/>
      <c r="U185" s="383"/>
      <c r="V185" s="383"/>
      <c r="W185" s="383"/>
      <c r="X185" s="383"/>
      <c r="Y185" s="383"/>
      <c r="Z185" s="383"/>
      <c r="AA185" s="383"/>
      <c r="AB185" s="383"/>
      <c r="AC185" s="383"/>
      <c r="AD185" s="383"/>
      <c r="AE185" s="383"/>
      <c r="AF185" s="377"/>
    </row>
    <row r="186" spans="1:32">
      <c r="A186" s="393"/>
      <c r="B186" s="393"/>
      <c r="C186" s="524"/>
      <c r="D186" s="524"/>
      <c r="E186" s="524"/>
      <c r="F186" s="384"/>
      <c r="G186" s="384"/>
      <c r="H186" s="639"/>
      <c r="I186" s="639"/>
      <c r="J186" s="381">
        <f t="shared" si="15"/>
        <v>0</v>
      </c>
      <c r="K186" s="381">
        <f t="shared" si="16"/>
        <v>0</v>
      </c>
      <c r="L186" s="634">
        <f>IFERROR(IF(B186="funkcna poziadavka",VLOOKUP(G186,MODULY_CBA!$B$3:$E$23,4,0)*H186/SUMIFS($H$3:$H$197,$G$3:$G$197,G186,$B$3:$B$197,B186),),)</f>
        <v>0</v>
      </c>
      <c r="M186" s="381">
        <f>IFERROR(IF(B186="Funkcna poziadavka",VLOOKUP(G186,MODULY_CBA!$B$3:$E$23,3,0),),)</f>
        <v>0</v>
      </c>
      <c r="N186" s="381">
        <f>IFERROR(IF(B186="funkcna poziadavka",VLOOKUP(G186,MODULY_CBA!$B$3:$E$23,2,0),),)</f>
        <v>0</v>
      </c>
      <c r="O186" s="380">
        <f t="shared" si="17"/>
        <v>0</v>
      </c>
      <c r="P186" s="379">
        <f>IFERROR(O186*VLOOKUP(G186,MODULY_CBA!$B$3:$F$23,5,0),)</f>
        <v>0</v>
      </c>
      <c r="Q186" s="471" t="str">
        <f>IFERROR(VLOOKUP(G186,MODULY_CBA!$B$3:$I$23,6,0),"")</f>
        <v/>
      </c>
      <c r="R186" s="383"/>
      <c r="S186" s="383"/>
      <c r="T186" s="383"/>
      <c r="U186" s="383"/>
      <c r="V186" s="383"/>
      <c r="W186" s="383"/>
      <c r="X186" s="383"/>
      <c r="Y186" s="383"/>
      <c r="Z186" s="383"/>
      <c r="AA186" s="383"/>
      <c r="AB186" s="383"/>
      <c r="AC186" s="383"/>
      <c r="AD186" s="383"/>
      <c r="AE186" s="383"/>
      <c r="AF186" s="377"/>
    </row>
    <row r="187" spans="1:32">
      <c r="A187" s="393"/>
      <c r="B187" s="393"/>
      <c r="C187" s="524"/>
      <c r="D187" s="524"/>
      <c r="E187" s="524"/>
      <c r="F187" s="384"/>
      <c r="G187" s="384"/>
      <c r="H187" s="639"/>
      <c r="I187" s="639"/>
      <c r="J187" s="381">
        <f t="shared" si="15"/>
        <v>0</v>
      </c>
      <c r="K187" s="381">
        <f t="shared" si="16"/>
        <v>0</v>
      </c>
      <c r="L187" s="634">
        <f>IFERROR(IF(B187="funkcna poziadavka",VLOOKUP(G187,MODULY_CBA!$B$3:$E$23,4,0)*H187/SUMIFS($H$3:$H$197,$G$3:$G$197,G187,$B$3:$B$197,B187),),)</f>
        <v>0</v>
      </c>
      <c r="M187" s="381">
        <f>IFERROR(IF(B187="Funkcna poziadavka",VLOOKUP(G187,MODULY_CBA!$B$3:$E$23,3,0),),)</f>
        <v>0</v>
      </c>
      <c r="N187" s="381">
        <f>IFERROR(IF(B187="funkcna poziadavka",VLOOKUP(G187,MODULY_CBA!$B$3:$E$23,2,0),),)</f>
        <v>0</v>
      </c>
      <c r="O187" s="380">
        <f t="shared" si="17"/>
        <v>0</v>
      </c>
      <c r="P187" s="379">
        <f>IFERROR(O187*VLOOKUP(G187,MODULY_CBA!$B$3:$F$23,5,0),)</f>
        <v>0</v>
      </c>
      <c r="Q187" s="471" t="str">
        <f>IFERROR(VLOOKUP(G187,MODULY_CBA!$B$3:$I$23,6,0),"")</f>
        <v/>
      </c>
      <c r="R187" s="383"/>
      <c r="S187" s="383"/>
      <c r="T187" s="383"/>
      <c r="U187" s="383"/>
      <c r="V187" s="383"/>
      <c r="W187" s="383"/>
      <c r="X187" s="383"/>
      <c r="Y187" s="383"/>
      <c r="Z187" s="383"/>
      <c r="AA187" s="383"/>
      <c r="AB187" s="383"/>
      <c r="AC187" s="383"/>
      <c r="AD187" s="383"/>
      <c r="AE187" s="383"/>
      <c r="AF187" s="377"/>
    </row>
    <row r="188" spans="1:32">
      <c r="A188" s="393"/>
      <c r="B188" s="393"/>
      <c r="C188" s="524"/>
      <c r="D188" s="524"/>
      <c r="E188" s="524"/>
      <c r="F188" s="384"/>
      <c r="G188" s="384"/>
      <c r="H188" s="639"/>
      <c r="I188" s="639"/>
      <c r="J188" s="381">
        <f t="shared" si="15"/>
        <v>0</v>
      </c>
      <c r="K188" s="381">
        <f t="shared" si="16"/>
        <v>0</v>
      </c>
      <c r="L188" s="634">
        <f>IFERROR(IF(B188="funkcna poziadavka",VLOOKUP(G188,MODULY_CBA!$B$3:$E$23,4,0)*H188/SUMIFS($H$3:$H$197,$G$3:$G$197,G188,$B$3:$B$197,B188),),)</f>
        <v>0</v>
      </c>
      <c r="M188" s="381">
        <f>IFERROR(IF(B188="Funkcna poziadavka",VLOOKUP(G188,MODULY_CBA!$B$3:$E$23,3,0),),)</f>
        <v>0</v>
      </c>
      <c r="N188" s="381">
        <f>IFERROR(IF(B188="funkcna poziadavka",VLOOKUP(G188,MODULY_CBA!$B$3:$E$23,2,0),),)</f>
        <v>0</v>
      </c>
      <c r="O188" s="380">
        <f t="shared" si="17"/>
        <v>0</v>
      </c>
      <c r="P188" s="379">
        <f>IFERROR(O188*VLOOKUP(G188,MODULY_CBA!$B$3:$F$23,5,0),)</f>
        <v>0</v>
      </c>
      <c r="Q188" s="471" t="str">
        <f>IFERROR(VLOOKUP(G188,MODULY_CBA!$B$3:$I$23,6,0),"")</f>
        <v/>
      </c>
      <c r="R188" s="383"/>
      <c r="S188" s="383"/>
      <c r="T188" s="383"/>
      <c r="U188" s="383"/>
      <c r="V188" s="383"/>
      <c r="W188" s="383"/>
      <c r="X188" s="383"/>
      <c r="Y188" s="383"/>
      <c r="Z188" s="383"/>
      <c r="AA188" s="383"/>
      <c r="AB188" s="383"/>
      <c r="AC188" s="383"/>
      <c r="AD188" s="383"/>
      <c r="AE188" s="383"/>
      <c r="AF188" s="377"/>
    </row>
    <row r="189" spans="1:32">
      <c r="A189" s="393"/>
      <c r="B189" s="393"/>
      <c r="C189" s="524"/>
      <c r="D189" s="524"/>
      <c r="E189" s="524"/>
      <c r="F189" s="384"/>
      <c r="G189" s="384"/>
      <c r="H189" s="639"/>
      <c r="I189" s="639"/>
      <c r="J189" s="381">
        <f t="shared" si="15"/>
        <v>0</v>
      </c>
      <c r="K189" s="381">
        <f t="shared" si="16"/>
        <v>0</v>
      </c>
      <c r="L189" s="634">
        <f>IFERROR(IF(B189="funkcna poziadavka",VLOOKUP(G189,MODULY_CBA!$B$3:$E$23,4,0)*H189/SUMIFS($H$3:$H$197,$G$3:$G$197,G189,$B$3:$B$197,B189),),)</f>
        <v>0</v>
      </c>
      <c r="M189" s="381">
        <f>IFERROR(IF(B189="Funkcna poziadavka",VLOOKUP(G189,MODULY_CBA!$B$3:$E$23,3,0),),)</f>
        <v>0</v>
      </c>
      <c r="N189" s="381">
        <f>IFERROR(IF(B189="funkcna poziadavka",VLOOKUP(G189,MODULY_CBA!$B$3:$E$23,2,0),),)</f>
        <v>0</v>
      </c>
      <c r="O189" s="380">
        <f t="shared" si="17"/>
        <v>0</v>
      </c>
      <c r="P189" s="379">
        <f>IFERROR(O189*VLOOKUP(G189,MODULY_CBA!$B$3:$F$23,5,0),)</f>
        <v>0</v>
      </c>
      <c r="Q189" s="471" t="str">
        <f>IFERROR(VLOOKUP(G189,MODULY_CBA!$B$3:$I$23,6,0),"")</f>
        <v/>
      </c>
      <c r="R189" s="383"/>
      <c r="S189" s="383"/>
      <c r="T189" s="383"/>
      <c r="U189" s="383"/>
      <c r="V189" s="383"/>
      <c r="W189" s="383"/>
      <c r="X189" s="383"/>
      <c r="Y189" s="383"/>
      <c r="Z189" s="383"/>
      <c r="AA189" s="383"/>
      <c r="AB189" s="383"/>
      <c r="AC189" s="383"/>
      <c r="AD189" s="383"/>
      <c r="AE189" s="383"/>
      <c r="AF189" s="377"/>
    </row>
    <row r="190" spans="1:32">
      <c r="A190" s="393"/>
      <c r="B190" s="393"/>
      <c r="C190" s="524"/>
      <c r="D190" s="524"/>
      <c r="E190" s="524"/>
      <c r="F190" s="384"/>
      <c r="G190" s="384"/>
      <c r="H190" s="639"/>
      <c r="I190" s="639"/>
      <c r="J190" s="381">
        <f t="shared" si="15"/>
        <v>0</v>
      </c>
      <c r="K190" s="381">
        <f t="shared" si="16"/>
        <v>0</v>
      </c>
      <c r="L190" s="634">
        <f>IFERROR(IF(B190="funkcna poziadavka",VLOOKUP(G190,MODULY_CBA!$B$3:$E$23,4,0)*H190/SUMIFS($H$3:$H$197,$G$3:$G$197,G190,$B$3:$B$197,B190),),)</f>
        <v>0</v>
      </c>
      <c r="M190" s="381">
        <f>IFERROR(IF(B190="Funkcna poziadavka",VLOOKUP(G190,MODULY_CBA!$B$3:$E$23,3,0),),)</f>
        <v>0</v>
      </c>
      <c r="N190" s="381">
        <f>IFERROR(IF(B190="funkcna poziadavka",VLOOKUP(G190,MODULY_CBA!$B$3:$E$23,2,0),),)</f>
        <v>0</v>
      </c>
      <c r="O190" s="380">
        <f t="shared" si="17"/>
        <v>0</v>
      </c>
      <c r="P190" s="379">
        <f>IFERROR(O190*VLOOKUP(G190,MODULY_CBA!$B$3:$F$23,5,0),)</f>
        <v>0</v>
      </c>
      <c r="Q190" s="471" t="str">
        <f>IFERROR(VLOOKUP(G190,MODULY_CBA!$B$3:$I$23,6,0),"")</f>
        <v/>
      </c>
      <c r="R190" s="383"/>
      <c r="S190" s="383"/>
      <c r="T190" s="383"/>
      <c r="U190" s="383"/>
      <c r="V190" s="383"/>
      <c r="W190" s="383"/>
      <c r="X190" s="383"/>
      <c r="Y190" s="383"/>
      <c r="Z190" s="383"/>
      <c r="AA190" s="383"/>
      <c r="AB190" s="383"/>
      <c r="AC190" s="383"/>
      <c r="AD190" s="383"/>
      <c r="AE190" s="383"/>
      <c r="AF190" s="377"/>
    </row>
    <row r="191" spans="1:32">
      <c r="A191" s="393"/>
      <c r="B191" s="393"/>
      <c r="C191" s="524"/>
      <c r="D191" s="524"/>
      <c r="E191" s="524"/>
      <c r="F191" s="384"/>
      <c r="G191" s="384"/>
      <c r="H191" s="639"/>
      <c r="I191" s="639"/>
      <c r="J191" s="381">
        <f t="shared" si="15"/>
        <v>0</v>
      </c>
      <c r="K191" s="381">
        <f t="shared" si="16"/>
        <v>0</v>
      </c>
      <c r="L191" s="634">
        <f>IFERROR(IF(B191="funkcna poziadavka",VLOOKUP(G191,MODULY_CBA!$B$3:$E$23,4,0)*H191/SUMIFS($H$3:$H$197,$G$3:$G$197,G191,$B$3:$B$197,B191),),)</f>
        <v>0</v>
      </c>
      <c r="M191" s="381">
        <f>IFERROR(IF(B191="Funkcna poziadavka",VLOOKUP(G191,MODULY_CBA!$B$3:$E$23,3,0),),)</f>
        <v>0</v>
      </c>
      <c r="N191" s="381">
        <f>IFERROR(IF(B191="funkcna poziadavka",VLOOKUP(G191,MODULY_CBA!$B$3:$E$23,2,0),),)</f>
        <v>0</v>
      </c>
      <c r="O191" s="380">
        <f t="shared" si="17"/>
        <v>0</v>
      </c>
      <c r="P191" s="379">
        <f>IFERROR(O191*VLOOKUP(G191,MODULY_CBA!$B$3:$F$23,5,0),)</f>
        <v>0</v>
      </c>
      <c r="Q191" s="471" t="str">
        <f>IFERROR(VLOOKUP(G191,MODULY_CBA!$B$3:$I$23,6,0),"")</f>
        <v/>
      </c>
      <c r="R191" s="383"/>
      <c r="S191" s="383"/>
      <c r="T191" s="383"/>
      <c r="U191" s="383"/>
      <c r="V191" s="383"/>
      <c r="W191" s="383"/>
      <c r="X191" s="383"/>
      <c r="Y191" s="383"/>
      <c r="Z191" s="383"/>
      <c r="AA191" s="383"/>
      <c r="AB191" s="383"/>
      <c r="AC191" s="383"/>
      <c r="AD191" s="383"/>
      <c r="AE191" s="383"/>
      <c r="AF191" s="377"/>
    </row>
    <row r="192" spans="1:32">
      <c r="A192" s="393"/>
      <c r="B192" s="393"/>
      <c r="C192" s="524"/>
      <c r="D192" s="524"/>
      <c r="E192" s="524"/>
      <c r="F192" s="384"/>
      <c r="G192" s="384"/>
      <c r="H192" s="639"/>
      <c r="I192" s="639"/>
      <c r="J192" s="381">
        <f t="shared" si="15"/>
        <v>0</v>
      </c>
      <c r="K192" s="381">
        <f t="shared" si="16"/>
        <v>0</v>
      </c>
      <c r="L192" s="634">
        <f>IFERROR(IF(B192="funkcna poziadavka",VLOOKUP(G192,MODULY_CBA!$B$3:$E$23,4,0)*H192/SUMIFS($H$3:$H$197,$G$3:$G$197,G192,$B$3:$B$197,B192),),)</f>
        <v>0</v>
      </c>
      <c r="M192" s="381">
        <f>IFERROR(IF(B192="Funkcna poziadavka",VLOOKUP(G192,MODULY_CBA!$B$3:$E$23,3,0),),)</f>
        <v>0</v>
      </c>
      <c r="N192" s="381">
        <f>IFERROR(IF(B192="funkcna poziadavka",VLOOKUP(G192,MODULY_CBA!$B$3:$E$23,2,0),),)</f>
        <v>0</v>
      </c>
      <c r="O192" s="380">
        <f t="shared" si="17"/>
        <v>0</v>
      </c>
      <c r="P192" s="379">
        <f>IFERROR(O192*VLOOKUP(G192,MODULY_CBA!$B$3:$F$23,5,0),)</f>
        <v>0</v>
      </c>
      <c r="Q192" s="471" t="str">
        <f>IFERROR(VLOOKUP(G192,MODULY_CBA!$B$3:$I$23,6,0),"")</f>
        <v/>
      </c>
      <c r="R192" s="383"/>
      <c r="S192" s="383"/>
      <c r="T192" s="383"/>
      <c r="U192" s="383"/>
      <c r="V192" s="383"/>
      <c r="W192" s="383"/>
      <c r="X192" s="383"/>
      <c r="Y192" s="383"/>
      <c r="Z192" s="383"/>
      <c r="AA192" s="383"/>
      <c r="AB192" s="383"/>
      <c r="AC192" s="383"/>
      <c r="AD192" s="383"/>
      <c r="AE192" s="383"/>
      <c r="AF192" s="377"/>
    </row>
    <row r="193" spans="1:32">
      <c r="A193" s="393"/>
      <c r="B193" s="393"/>
      <c r="C193" s="524"/>
      <c r="D193" s="524"/>
      <c r="E193" s="524"/>
      <c r="F193" s="384"/>
      <c r="G193" s="384"/>
      <c r="H193" s="639"/>
      <c r="I193" s="639"/>
      <c r="J193" s="381">
        <f t="shared" si="15"/>
        <v>0</v>
      </c>
      <c r="K193" s="381">
        <f t="shared" si="16"/>
        <v>0</v>
      </c>
      <c r="L193" s="634">
        <f>IFERROR(IF(B193="funkcna poziadavka",VLOOKUP(G193,MODULY_CBA!$B$3:$E$23,4,0)*H193/SUMIFS($H$3:$H$197,$G$3:$G$197,G193,$B$3:$B$197,B193),),)</f>
        <v>0</v>
      </c>
      <c r="M193" s="381">
        <f>IFERROR(IF(B193="Funkcna poziadavka",VLOOKUP(G193,MODULY_CBA!$B$3:$E$23,3,0),),)</f>
        <v>0</v>
      </c>
      <c r="N193" s="381">
        <f>IFERROR(IF(B193="funkcna poziadavka",VLOOKUP(G193,MODULY_CBA!$B$3:$E$23,2,0),),)</f>
        <v>0</v>
      </c>
      <c r="O193" s="380">
        <f t="shared" si="17"/>
        <v>0</v>
      </c>
      <c r="P193" s="379">
        <f>IFERROR(O193*VLOOKUP(G193,MODULY_CBA!$B$3:$F$23,5,0),)</f>
        <v>0</v>
      </c>
      <c r="Q193" s="471" t="str">
        <f>IFERROR(VLOOKUP(G193,MODULY_CBA!$B$3:$I$23,6,0),"")</f>
        <v/>
      </c>
      <c r="R193" s="383"/>
      <c r="S193" s="383"/>
      <c r="T193" s="383"/>
      <c r="U193" s="383"/>
      <c r="V193" s="383"/>
      <c r="W193" s="383"/>
      <c r="X193" s="383"/>
      <c r="Y193" s="383"/>
      <c r="Z193" s="383"/>
      <c r="AA193" s="383"/>
      <c r="AB193" s="383"/>
      <c r="AC193" s="383"/>
      <c r="AD193" s="383"/>
      <c r="AE193" s="383"/>
      <c r="AF193" s="377"/>
    </row>
    <row r="194" spans="1:32">
      <c r="A194" s="393"/>
      <c r="B194" s="393"/>
      <c r="C194" s="524"/>
      <c r="D194" s="524"/>
      <c r="E194" s="524"/>
      <c r="F194" s="384"/>
      <c r="G194" s="384"/>
      <c r="H194" s="639"/>
      <c r="I194" s="639"/>
      <c r="J194" s="381">
        <f t="shared" si="15"/>
        <v>0</v>
      </c>
      <c r="K194" s="381">
        <f t="shared" si="16"/>
        <v>0</v>
      </c>
      <c r="L194" s="634">
        <f>IFERROR(IF(B194="funkcna poziadavka",VLOOKUP(G194,MODULY_CBA!$B$3:$E$23,4,0)*H194/SUMIFS($H$3:$H$197,$G$3:$G$197,G194,$B$3:$B$197,B194),),)</f>
        <v>0</v>
      </c>
      <c r="M194" s="381">
        <f>IFERROR(IF(B194="Funkcna poziadavka",VLOOKUP(G194,MODULY_CBA!$B$3:$E$23,3,0),),)</f>
        <v>0</v>
      </c>
      <c r="N194" s="381">
        <f>IFERROR(IF(B194="funkcna poziadavka",VLOOKUP(G194,MODULY_CBA!$B$3:$E$23,2,0),),)</f>
        <v>0</v>
      </c>
      <c r="O194" s="380">
        <f t="shared" si="17"/>
        <v>0</v>
      </c>
      <c r="P194" s="379">
        <f>IFERROR(O194*VLOOKUP(G194,MODULY_CBA!$B$3:$F$23,5,0),)</f>
        <v>0</v>
      </c>
      <c r="Q194" s="471" t="str">
        <f>IFERROR(VLOOKUP(G194,MODULY_CBA!$B$3:$I$23,6,0),"")</f>
        <v/>
      </c>
      <c r="R194" s="383"/>
      <c r="S194" s="383"/>
      <c r="T194" s="383"/>
      <c r="U194" s="383"/>
      <c r="V194" s="383"/>
      <c r="W194" s="383"/>
      <c r="X194" s="383"/>
      <c r="Y194" s="383"/>
      <c r="Z194" s="383"/>
      <c r="AA194" s="383"/>
      <c r="AB194" s="383"/>
      <c r="AC194" s="383"/>
      <c r="AD194" s="383"/>
      <c r="AE194" s="383"/>
      <c r="AF194" s="377"/>
    </row>
    <row r="195" spans="1:32">
      <c r="A195" s="393"/>
      <c r="B195" s="393"/>
      <c r="C195" s="524"/>
      <c r="D195" s="524"/>
      <c r="E195" s="524"/>
      <c r="F195" s="384"/>
      <c r="G195" s="384"/>
      <c r="H195" s="639"/>
      <c r="I195" s="639"/>
      <c r="J195" s="381">
        <f t="shared" si="15"/>
        <v>0</v>
      </c>
      <c r="K195" s="381">
        <f t="shared" si="16"/>
        <v>0</v>
      </c>
      <c r="L195" s="634">
        <f>IFERROR(IF(B195="funkcna poziadavka",VLOOKUP(G195,MODULY_CBA!$B$3:$E$23,4,0)*H195/SUMIFS($H$3:$H$197,$G$3:$G$197,G195,$B$3:$B$197,B195),),)</f>
        <v>0</v>
      </c>
      <c r="M195" s="381">
        <f>IFERROR(IF(B195="Funkcna poziadavka",VLOOKUP(G195,MODULY_CBA!$B$3:$E$23,3,0),),)</f>
        <v>0</v>
      </c>
      <c r="N195" s="381">
        <f>IFERROR(IF(B195="funkcna poziadavka",VLOOKUP(G195,MODULY_CBA!$B$3:$E$23,2,0),),)</f>
        <v>0</v>
      </c>
      <c r="O195" s="380">
        <f t="shared" si="17"/>
        <v>0</v>
      </c>
      <c r="P195" s="379">
        <f>IFERROR(O195*VLOOKUP(G195,MODULY_CBA!$B$3:$F$23,5,0),)</f>
        <v>0</v>
      </c>
      <c r="Q195" s="471" t="str">
        <f>IFERROR(VLOOKUP(G195,MODULY_CBA!$B$3:$I$23,6,0),"")</f>
        <v/>
      </c>
      <c r="R195" s="383"/>
      <c r="S195" s="383"/>
      <c r="T195" s="383"/>
      <c r="U195" s="383"/>
      <c r="V195" s="383"/>
      <c r="W195" s="383"/>
      <c r="X195" s="383"/>
      <c r="Y195" s="383"/>
      <c r="Z195" s="383"/>
      <c r="AA195" s="383"/>
      <c r="AB195" s="383"/>
      <c r="AC195" s="383"/>
      <c r="AD195" s="383"/>
      <c r="AE195" s="383"/>
      <c r="AF195" s="377"/>
    </row>
    <row r="196" spans="1:32">
      <c r="A196" s="393"/>
      <c r="B196" s="393"/>
      <c r="C196" s="524"/>
      <c r="D196" s="524"/>
      <c r="E196" s="524"/>
      <c r="F196" s="384"/>
      <c r="G196" s="384"/>
      <c r="H196" s="639"/>
      <c r="I196" s="639"/>
      <c r="J196" s="381">
        <f t="shared" si="15"/>
        <v>0</v>
      </c>
      <c r="K196" s="381">
        <f t="shared" si="16"/>
        <v>0</v>
      </c>
      <c r="L196" s="634">
        <f>IFERROR(IF(B196="funkcna poziadavka",VLOOKUP(G196,MODULY_CBA!$B$3:$E$23,4,0)*H196/SUMIFS($H$3:$H$197,$G$3:$G$197,G196,$B$3:$B$197,B196),),)</f>
        <v>0</v>
      </c>
      <c r="M196" s="381">
        <f>IFERROR(IF(B196="Funkcna poziadavka",VLOOKUP(G196,MODULY_CBA!$B$3:$E$23,3,0),),)</f>
        <v>0</v>
      </c>
      <c r="N196" s="381">
        <f>IFERROR(IF(B196="funkcna poziadavka",VLOOKUP(G196,MODULY_CBA!$B$3:$E$23,2,0),),)</f>
        <v>0</v>
      </c>
      <c r="O196" s="380">
        <f t="shared" si="17"/>
        <v>0</v>
      </c>
      <c r="P196" s="379">
        <f>IFERROR(O196*VLOOKUP(G196,MODULY_CBA!$B$3:$F$23,5,0),)</f>
        <v>0</v>
      </c>
      <c r="Q196" s="471" t="str">
        <f>IFERROR(VLOOKUP(G196,MODULY_CBA!$B$3:$I$23,6,0),"")</f>
        <v/>
      </c>
      <c r="R196" s="383"/>
      <c r="S196" s="383"/>
      <c r="T196" s="383"/>
      <c r="U196" s="383"/>
      <c r="V196" s="383"/>
      <c r="W196" s="383"/>
      <c r="X196" s="383"/>
      <c r="Y196" s="383"/>
      <c r="Z196" s="383"/>
      <c r="AA196" s="383"/>
      <c r="AB196" s="383"/>
      <c r="AC196" s="383"/>
      <c r="AD196" s="383"/>
      <c r="AE196" s="383"/>
      <c r="AF196" s="377"/>
    </row>
    <row r="197" spans="1:32">
      <c r="A197" s="393"/>
      <c r="B197" s="393"/>
      <c r="C197" s="524"/>
      <c r="D197" s="524"/>
      <c r="E197" s="524"/>
      <c r="F197" s="384"/>
      <c r="G197" s="384"/>
      <c r="H197" s="639"/>
      <c r="I197" s="639"/>
      <c r="J197" s="381">
        <f t="shared" si="15"/>
        <v>0</v>
      </c>
      <c r="K197" s="381">
        <f t="shared" si="16"/>
        <v>0</v>
      </c>
      <c r="L197" s="634">
        <f>IFERROR(IF(B197="funkcna poziadavka",VLOOKUP(G197,MODULY_CBA!$B$3:$E$23,4,0)*H197/SUMIFS($H$3:$H$197,$G$3:$G$197,G197,$B$3:$B$197,B197),),)</f>
        <v>0</v>
      </c>
      <c r="M197" s="381">
        <f>IFERROR(IF(B197="Funkcna poziadavka",VLOOKUP(G197,MODULY_CBA!$B$3:$E$23,3,0),),)</f>
        <v>0</v>
      </c>
      <c r="N197" s="381">
        <f>IFERROR(IF(B197="funkcna poziadavka",VLOOKUP(G197,MODULY_CBA!$B$3:$E$23,2,0),),)</f>
        <v>0</v>
      </c>
      <c r="O197" s="380">
        <f t="shared" si="17"/>
        <v>0</v>
      </c>
      <c r="P197" s="379">
        <f>IFERROR(O197*VLOOKUP(G197,MODULY_CBA!$B$3:$F$23,5,0),)</f>
        <v>0</v>
      </c>
      <c r="Q197" s="471" t="str">
        <f>IFERROR(VLOOKUP(G197,MODULY_CBA!$B$3:$I$23,6,0),"")</f>
        <v/>
      </c>
      <c r="R197" s="383"/>
      <c r="S197" s="383"/>
      <c r="T197" s="383"/>
      <c r="U197" s="383"/>
      <c r="V197" s="383"/>
      <c r="W197" s="383"/>
      <c r="X197" s="383"/>
      <c r="Y197" s="383"/>
      <c r="Z197" s="383"/>
      <c r="AA197" s="383"/>
      <c r="AB197" s="383"/>
      <c r="AC197" s="383"/>
      <c r="AD197" s="383"/>
      <c r="AE197" s="383"/>
      <c r="AF197" s="377"/>
    </row>
    <row r="198" spans="1:32">
      <c r="A198" s="393"/>
      <c r="B198" s="393"/>
      <c r="C198" s="524"/>
      <c r="D198" s="524"/>
      <c r="E198" s="524"/>
      <c r="F198" s="384"/>
      <c r="G198" s="384"/>
      <c r="H198" s="639"/>
      <c r="I198" s="639"/>
      <c r="J198" s="381">
        <f t="shared" si="15"/>
        <v>0</v>
      </c>
      <c r="K198" s="381">
        <f t="shared" si="16"/>
        <v>0</v>
      </c>
      <c r="L198" s="634">
        <f>IFERROR(IF(B198="funkcna poziadavka",VLOOKUP(G198,MODULY_CBA!$B$3:$E$23,4,0)*H198/SUMIFS($H$3:$H$197,$G$3:$G$197,G198,$B$3:$B$197,B198),),)</f>
        <v>0</v>
      </c>
      <c r="M198" s="381">
        <f>IFERROR(IF(B198="Funkcna poziadavka",VLOOKUP(G198,MODULY_CBA!$B$3:$E$23,3,0),),)</f>
        <v>0</v>
      </c>
      <c r="N198" s="381">
        <f>IFERROR(IF(B198="funkcna poziadavka",VLOOKUP(G198,MODULY_CBA!$B$3:$E$23,2,0),),)</f>
        <v>0</v>
      </c>
      <c r="O198" s="380">
        <f t="shared" si="17"/>
        <v>0</v>
      </c>
      <c r="P198" s="379">
        <f>IFERROR(O198*VLOOKUP(G198,MODULY_CBA!$B$3:$F$23,5,0),)</f>
        <v>0</v>
      </c>
      <c r="Q198" s="471" t="str">
        <f>IFERROR(VLOOKUP(G198,MODULY_CBA!$B$3:$I$23,6,0),"")</f>
        <v/>
      </c>
      <c r="R198" s="383"/>
      <c r="S198" s="383"/>
      <c r="T198" s="383"/>
      <c r="U198" s="383"/>
      <c r="V198" s="383"/>
      <c r="W198" s="383"/>
      <c r="X198" s="383"/>
      <c r="Y198" s="383"/>
      <c r="Z198" s="383"/>
      <c r="AA198" s="383"/>
      <c r="AB198" s="383"/>
      <c r="AC198" s="383"/>
      <c r="AD198" s="383"/>
      <c r="AE198" s="383"/>
      <c r="AF198" s="377"/>
    </row>
    <row r="199" spans="1:32">
      <c r="A199" s="393"/>
      <c r="B199" s="393"/>
      <c r="C199" s="524"/>
      <c r="D199" s="524"/>
      <c r="E199" s="524"/>
      <c r="F199" s="384"/>
      <c r="G199" s="384"/>
      <c r="H199" s="639"/>
      <c r="I199" s="639"/>
      <c r="J199" s="381">
        <f t="shared" si="15"/>
        <v>0</v>
      </c>
      <c r="K199" s="381">
        <f t="shared" si="16"/>
        <v>0</v>
      </c>
      <c r="L199" s="634">
        <f>IFERROR(IF(B199="funkcna poziadavka",VLOOKUP(G199,MODULY_CBA!$B$3:$E$23,4,0)*H199/SUMIFS($H$3:$H$197,$G$3:$G$197,G199,$B$3:$B$197,B199),),)</f>
        <v>0</v>
      </c>
      <c r="M199" s="381">
        <f>IFERROR(IF(B199="Funkcna poziadavka",VLOOKUP(G199,MODULY_CBA!$B$3:$E$23,3,0),),)</f>
        <v>0</v>
      </c>
      <c r="N199" s="381">
        <f>IFERROR(IF(B199="funkcna poziadavka",VLOOKUP(G199,MODULY_CBA!$B$3:$E$23,2,0),),)</f>
        <v>0</v>
      </c>
      <c r="O199" s="380">
        <f t="shared" si="17"/>
        <v>0</v>
      </c>
      <c r="P199" s="379">
        <f>IFERROR(O199*VLOOKUP(G199,MODULY_CBA!$B$3:$F$23,5,0),)</f>
        <v>0</v>
      </c>
      <c r="Q199" s="471" t="str">
        <f>IFERROR(VLOOKUP(G199,MODULY_CBA!$B$3:$I$23,6,0),"")</f>
        <v/>
      </c>
      <c r="R199" s="383"/>
      <c r="S199" s="383"/>
      <c r="T199" s="383"/>
      <c r="U199" s="383"/>
      <c r="V199" s="383"/>
      <c r="W199" s="383"/>
      <c r="X199" s="383"/>
      <c r="Y199" s="383"/>
      <c r="Z199" s="383"/>
      <c r="AA199" s="383"/>
      <c r="AB199" s="383"/>
      <c r="AC199" s="383"/>
      <c r="AD199" s="383"/>
      <c r="AE199" s="383"/>
      <c r="AF199" s="377"/>
    </row>
    <row r="200" spans="1:32">
      <c r="A200" s="393"/>
      <c r="B200" s="393"/>
      <c r="C200" s="524"/>
      <c r="D200" s="524"/>
      <c r="E200" s="524"/>
      <c r="F200" s="384"/>
      <c r="G200" s="384"/>
      <c r="H200" s="639"/>
      <c r="I200" s="639"/>
      <c r="J200" s="381">
        <f t="shared" si="15"/>
        <v>0</v>
      </c>
      <c r="K200" s="381">
        <f t="shared" si="16"/>
        <v>0</v>
      </c>
      <c r="L200" s="634">
        <f>IFERROR(IF(B200="funkcna poziadavka",VLOOKUP(G200,MODULY_CBA!$B$3:$E$23,4,0)*H200/SUMIFS($H$3:$H$197,$G$3:$G$197,G200,$B$3:$B$197,B200),),)</f>
        <v>0</v>
      </c>
      <c r="M200" s="381">
        <f>IFERROR(IF(B200="Funkcna poziadavka",VLOOKUP(G200,MODULY_CBA!$B$3:$E$23,3,0),),)</f>
        <v>0</v>
      </c>
      <c r="N200" s="381">
        <f>IFERROR(IF(B200="funkcna poziadavka",VLOOKUP(G200,MODULY_CBA!$B$3:$E$23,2,0),),)</f>
        <v>0</v>
      </c>
      <c r="O200" s="380">
        <f t="shared" si="17"/>
        <v>0</v>
      </c>
      <c r="P200" s="379">
        <f>IFERROR(O200*VLOOKUP(G200,MODULY_CBA!$B$3:$F$23,5,0),)</f>
        <v>0</v>
      </c>
      <c r="Q200" s="471" t="str">
        <f>IFERROR(VLOOKUP(G200,MODULY_CBA!$B$3:$I$23,6,0),"")</f>
        <v/>
      </c>
      <c r="R200" s="383"/>
      <c r="S200" s="383"/>
      <c r="T200" s="383"/>
      <c r="U200" s="383"/>
      <c r="V200" s="383"/>
      <c r="W200" s="383"/>
      <c r="X200" s="383"/>
      <c r="Y200" s="383"/>
      <c r="Z200" s="383"/>
      <c r="AA200" s="383"/>
      <c r="AB200" s="383"/>
      <c r="AC200" s="383"/>
      <c r="AD200" s="383"/>
      <c r="AE200" s="383"/>
      <c r="AF200" s="377"/>
    </row>
    <row r="201" spans="1:32">
      <c r="A201" s="393"/>
      <c r="B201" s="393"/>
      <c r="C201" s="524"/>
      <c r="D201" s="524"/>
      <c r="E201" s="524"/>
      <c r="F201" s="384"/>
      <c r="G201" s="384"/>
      <c r="H201" s="639"/>
      <c r="I201" s="639"/>
      <c r="J201" s="381">
        <f t="shared" si="15"/>
        <v>0</v>
      </c>
      <c r="K201" s="381">
        <f t="shared" si="16"/>
        <v>0</v>
      </c>
      <c r="L201" s="634">
        <f>IFERROR(IF(B201="funkcna poziadavka",VLOOKUP(G201,MODULY_CBA!$B$3:$E$23,4,0)*H201/SUMIFS($H$3:$H$197,$G$3:$G$197,G201,$B$3:$B$197,B201),),)</f>
        <v>0</v>
      </c>
      <c r="M201" s="381">
        <f>IFERROR(IF(B201="Funkcna poziadavka",VLOOKUP(G201,MODULY_CBA!$B$3:$E$23,3,0),),)</f>
        <v>0</v>
      </c>
      <c r="N201" s="381">
        <f>IFERROR(IF(B201="funkcna poziadavka",VLOOKUP(G201,MODULY_CBA!$B$3:$E$23,2,0),),)</f>
        <v>0</v>
      </c>
      <c r="O201" s="380">
        <f t="shared" si="17"/>
        <v>0</v>
      </c>
      <c r="P201" s="379">
        <f>IFERROR(O201*VLOOKUP(G201,MODULY_CBA!$B$3:$F$23,5,0),)</f>
        <v>0</v>
      </c>
      <c r="Q201" s="471" t="str">
        <f>IFERROR(VLOOKUP(G201,MODULY_CBA!$B$3:$I$23,6,0),"")</f>
        <v/>
      </c>
      <c r="R201" s="383"/>
      <c r="S201" s="383"/>
      <c r="T201" s="383"/>
      <c r="U201" s="383"/>
      <c r="V201" s="383"/>
      <c r="W201" s="383"/>
      <c r="X201" s="383"/>
      <c r="Y201" s="383"/>
      <c r="Z201" s="383"/>
      <c r="AA201" s="383"/>
      <c r="AB201" s="383"/>
      <c r="AC201" s="383"/>
      <c r="AD201" s="383"/>
      <c r="AE201" s="383"/>
      <c r="AF201" s="377"/>
    </row>
    <row r="202" spans="1:32">
      <c r="A202" s="393"/>
      <c r="B202" s="393"/>
      <c r="C202" s="524"/>
      <c r="D202" s="524"/>
      <c r="E202" s="524"/>
      <c r="F202" s="384"/>
      <c r="G202" s="384"/>
      <c r="H202" s="639"/>
      <c r="I202" s="639"/>
      <c r="J202" s="381">
        <f t="shared" si="15"/>
        <v>0</v>
      </c>
      <c r="K202" s="381">
        <f t="shared" si="16"/>
        <v>0</v>
      </c>
      <c r="L202" s="634">
        <f>IFERROR(IF(B202="funkcna poziadavka",VLOOKUP(G202,MODULY_CBA!$B$3:$E$23,4,0)*H202/SUMIFS($H$3:$H$197,$G$3:$G$197,G202,$B$3:$B$197,B202),),)</f>
        <v>0</v>
      </c>
      <c r="M202" s="381">
        <f>IFERROR(IF(B202="Funkcna poziadavka",VLOOKUP(G202,MODULY_CBA!$B$3:$E$23,3,0),),)</f>
        <v>0</v>
      </c>
      <c r="N202" s="381">
        <f>IFERROR(IF(B202="funkcna poziadavka",VLOOKUP(G202,MODULY_CBA!$B$3:$E$23,2,0),),)</f>
        <v>0</v>
      </c>
      <c r="O202" s="380">
        <f t="shared" si="17"/>
        <v>0</v>
      </c>
      <c r="P202" s="379">
        <f>IFERROR(O202*VLOOKUP(G202,MODULY_CBA!$B$3:$F$23,5,0),)</f>
        <v>0</v>
      </c>
      <c r="Q202" s="471" t="str">
        <f>IFERROR(VLOOKUP(G202,MODULY_CBA!$B$3:$I$23,6,0),"")</f>
        <v/>
      </c>
      <c r="R202" s="383"/>
      <c r="S202" s="383"/>
      <c r="T202" s="383"/>
      <c r="U202" s="383"/>
      <c r="V202" s="383"/>
      <c r="W202" s="383"/>
      <c r="X202" s="383"/>
      <c r="Y202" s="383"/>
      <c r="Z202" s="383"/>
      <c r="AA202" s="383"/>
      <c r="AB202" s="383"/>
      <c r="AC202" s="383"/>
      <c r="AD202" s="383"/>
      <c r="AE202" s="383"/>
      <c r="AF202" s="377"/>
    </row>
    <row r="203" spans="1:32">
      <c r="A203" s="393"/>
      <c r="B203" s="393"/>
      <c r="C203" s="524"/>
      <c r="D203" s="524"/>
      <c r="E203" s="524"/>
      <c r="F203" s="384"/>
      <c r="G203" s="384"/>
      <c r="H203" s="639"/>
      <c r="I203" s="639"/>
      <c r="J203" s="381">
        <f t="shared" si="15"/>
        <v>0</v>
      </c>
      <c r="K203" s="381">
        <f t="shared" si="16"/>
        <v>0</v>
      </c>
      <c r="L203" s="634">
        <f>IFERROR(IF(B203="funkcna poziadavka",VLOOKUP(G203,MODULY_CBA!$B$3:$E$23,4,0)*H203/SUMIFS($H$3:$H$197,$G$3:$G$197,G203,$B$3:$B$197,B203),),)</f>
        <v>0</v>
      </c>
      <c r="M203" s="381">
        <f>IFERROR(IF(B203="Funkcna poziadavka",VLOOKUP(G203,MODULY_CBA!$B$3:$E$23,3,0),),)</f>
        <v>0</v>
      </c>
      <c r="N203" s="381">
        <f>IFERROR(IF(B203="funkcna poziadavka",VLOOKUP(G203,MODULY_CBA!$B$3:$E$23,2,0),),)</f>
        <v>0</v>
      </c>
      <c r="O203" s="380">
        <f t="shared" si="17"/>
        <v>0</v>
      </c>
      <c r="P203" s="379">
        <f>IFERROR(O203*VLOOKUP(G203,MODULY_CBA!$B$3:$F$23,5,0),)</f>
        <v>0</v>
      </c>
      <c r="Q203" s="471" t="str">
        <f>IFERROR(VLOOKUP(G203,MODULY_CBA!$B$3:$I$23,6,0),"")</f>
        <v/>
      </c>
      <c r="R203" s="383"/>
      <c r="S203" s="383"/>
      <c r="T203" s="383"/>
      <c r="U203" s="383"/>
      <c r="V203" s="383"/>
      <c r="W203" s="383"/>
      <c r="X203" s="383"/>
      <c r="Y203" s="383"/>
      <c r="Z203" s="383"/>
      <c r="AA203" s="383"/>
      <c r="AB203" s="383"/>
      <c r="AC203" s="383"/>
      <c r="AD203" s="383"/>
      <c r="AE203" s="383"/>
      <c r="AF203" s="377"/>
    </row>
    <row r="204" spans="1:32">
      <c r="A204" s="393"/>
      <c r="B204" s="393"/>
      <c r="C204" s="524"/>
      <c r="D204" s="524"/>
      <c r="E204" s="524"/>
      <c r="F204" s="384"/>
      <c r="G204" s="384"/>
      <c r="H204" s="639"/>
      <c r="I204" s="639"/>
      <c r="J204" s="381">
        <f t="shared" si="15"/>
        <v>0</v>
      </c>
      <c r="K204" s="381">
        <f t="shared" si="16"/>
        <v>0</v>
      </c>
      <c r="L204" s="634">
        <f>IFERROR(IF(B204="funkcna poziadavka",VLOOKUP(G204,MODULY_CBA!$B$3:$E$23,4,0)*H204/SUMIFS($H$3:$H$197,$G$3:$G$197,G204,$B$3:$B$197,B204),),)</f>
        <v>0</v>
      </c>
      <c r="M204" s="381">
        <f>IFERROR(IF(B204="Funkcna poziadavka",VLOOKUP(G204,MODULY_CBA!$B$3:$E$23,3,0),),)</f>
        <v>0</v>
      </c>
      <c r="N204" s="381">
        <f>IFERROR(IF(B204="funkcna poziadavka",VLOOKUP(G204,MODULY_CBA!$B$3:$E$23,2,0),),)</f>
        <v>0</v>
      </c>
      <c r="O204" s="380">
        <f t="shared" si="17"/>
        <v>0</v>
      </c>
      <c r="P204" s="379">
        <f>IFERROR(O204*VLOOKUP(G204,MODULY_CBA!$B$3:$F$23,5,0),)</f>
        <v>0</v>
      </c>
      <c r="Q204" s="471" t="str">
        <f>IFERROR(VLOOKUP(G204,MODULY_CBA!$B$3:$I$23,6,0),"")</f>
        <v/>
      </c>
      <c r="R204" s="383"/>
      <c r="S204" s="383"/>
      <c r="T204" s="383"/>
      <c r="U204" s="383"/>
      <c r="V204" s="383"/>
      <c r="W204" s="383"/>
      <c r="X204" s="383"/>
      <c r="Y204" s="383"/>
      <c r="Z204" s="383"/>
      <c r="AA204" s="383"/>
      <c r="AB204" s="383"/>
      <c r="AC204" s="383"/>
      <c r="AD204" s="383"/>
      <c r="AE204" s="383"/>
      <c r="AF204" s="377"/>
    </row>
    <row r="205" spans="1:32">
      <c r="A205" s="393"/>
      <c r="B205" s="393"/>
      <c r="C205" s="524"/>
      <c r="D205" s="524"/>
      <c r="E205" s="524"/>
      <c r="F205" s="384"/>
      <c r="G205" s="384"/>
      <c r="H205" s="639"/>
      <c r="I205" s="639"/>
      <c r="J205" s="381">
        <f t="shared" si="15"/>
        <v>0</v>
      </c>
      <c r="K205" s="381">
        <f t="shared" si="16"/>
        <v>0</v>
      </c>
      <c r="L205" s="634">
        <f>IFERROR(IF(B205="funkcna poziadavka",VLOOKUP(G205,MODULY_CBA!$B$3:$E$23,4,0)*H205/SUMIFS($H$3:$H$197,$G$3:$G$197,G205,$B$3:$B$197,B205),),)</f>
        <v>0</v>
      </c>
      <c r="M205" s="381">
        <f>IFERROR(IF(B205="Funkcna poziadavka",VLOOKUP(G205,MODULY_CBA!$B$3:$E$23,3,0),),)</f>
        <v>0</v>
      </c>
      <c r="N205" s="381">
        <f>IFERROR(IF(B205="funkcna poziadavka",VLOOKUP(G205,MODULY_CBA!$B$3:$E$23,2,0),),)</f>
        <v>0</v>
      </c>
      <c r="O205" s="380">
        <f t="shared" si="17"/>
        <v>0</v>
      </c>
      <c r="P205" s="379">
        <f>IFERROR(O205*VLOOKUP(G205,MODULY_CBA!$B$3:$F$23,5,0),)</f>
        <v>0</v>
      </c>
      <c r="Q205" s="471" t="str">
        <f>IFERROR(VLOOKUP(G205,MODULY_CBA!$B$3:$I$23,6,0),"")</f>
        <v/>
      </c>
      <c r="R205" s="383"/>
      <c r="S205" s="383"/>
      <c r="T205" s="383"/>
      <c r="U205" s="383"/>
      <c r="V205" s="383"/>
      <c r="W205" s="383"/>
      <c r="X205" s="383"/>
      <c r="Y205" s="383"/>
      <c r="Z205" s="383"/>
      <c r="AA205" s="383"/>
      <c r="AB205" s="383"/>
      <c r="AC205" s="383"/>
      <c r="AD205" s="383"/>
      <c r="AE205" s="383"/>
      <c r="AF205" s="377"/>
    </row>
    <row r="206" spans="1:32">
      <c r="A206" s="393"/>
      <c r="B206" s="393"/>
      <c r="C206" s="524"/>
      <c r="D206" s="524"/>
      <c r="E206" s="524"/>
      <c r="F206" s="384"/>
      <c r="G206" s="384"/>
      <c r="H206" s="639"/>
      <c r="I206" s="639"/>
      <c r="J206" s="381">
        <f t="shared" si="15"/>
        <v>0</v>
      </c>
      <c r="K206" s="381">
        <f t="shared" si="16"/>
        <v>0</v>
      </c>
      <c r="L206" s="634">
        <f>IFERROR(IF(B206="funkcna poziadavka",VLOOKUP(G206,MODULY_CBA!$B$3:$E$23,4,0)*H206/SUMIFS($H$3:$H$197,$G$3:$G$197,G206,$B$3:$B$197,B206),),)</f>
        <v>0</v>
      </c>
      <c r="M206" s="381">
        <f>IFERROR(IF(B206="Funkcna poziadavka",VLOOKUP(G206,MODULY_CBA!$B$3:$E$23,3,0),),)</f>
        <v>0</v>
      </c>
      <c r="N206" s="381">
        <f>IFERROR(IF(B206="funkcna poziadavka",VLOOKUP(G206,MODULY_CBA!$B$3:$E$23,2,0),),)</f>
        <v>0</v>
      </c>
      <c r="O206" s="380">
        <f t="shared" si="17"/>
        <v>0</v>
      </c>
      <c r="P206" s="379">
        <f>IFERROR(O206*VLOOKUP(G206,MODULY_CBA!$B$3:$F$23,5,0),)</f>
        <v>0</v>
      </c>
      <c r="Q206" s="471" t="str">
        <f>IFERROR(VLOOKUP(G206,MODULY_CBA!$B$3:$I$23,6,0),"")</f>
        <v/>
      </c>
      <c r="R206" s="383"/>
      <c r="S206" s="383"/>
      <c r="T206" s="383"/>
      <c r="U206" s="383"/>
      <c r="V206" s="383"/>
      <c r="W206" s="383"/>
      <c r="X206" s="383"/>
      <c r="Y206" s="383"/>
      <c r="Z206" s="383"/>
      <c r="AA206" s="383"/>
      <c r="AB206" s="383"/>
      <c r="AC206" s="383"/>
      <c r="AD206" s="383"/>
      <c r="AE206" s="383"/>
      <c r="AF206" s="377"/>
    </row>
    <row r="207" spans="1:32">
      <c r="A207" s="393"/>
      <c r="B207" s="393"/>
      <c r="C207" s="524"/>
      <c r="D207" s="524"/>
      <c r="E207" s="524"/>
      <c r="F207" s="384"/>
      <c r="G207" s="384"/>
      <c r="H207" s="639"/>
      <c r="I207" s="639"/>
      <c r="J207" s="381">
        <f t="shared" si="15"/>
        <v>0</v>
      </c>
      <c r="K207" s="381">
        <f t="shared" si="16"/>
        <v>0</v>
      </c>
      <c r="L207" s="634">
        <f>IFERROR(IF(B207="funkcna poziadavka",VLOOKUP(G207,MODULY_CBA!$B$3:$E$23,4,0)*H207/SUMIFS($H$3:$H$197,$G$3:$G$197,G207,$B$3:$B$197,B207),),)</f>
        <v>0</v>
      </c>
      <c r="M207" s="381">
        <f>IFERROR(IF(B207="Funkcna poziadavka",VLOOKUP(G207,MODULY_CBA!$B$3:$E$23,3,0),),)</f>
        <v>0</v>
      </c>
      <c r="N207" s="381">
        <f>IFERROR(IF(B207="funkcna poziadavka",VLOOKUP(G207,MODULY_CBA!$B$3:$E$23,2,0),),)</f>
        <v>0</v>
      </c>
      <c r="O207" s="380">
        <f t="shared" si="17"/>
        <v>0</v>
      </c>
      <c r="P207" s="379">
        <f>IFERROR(O207*VLOOKUP(G207,MODULY_CBA!$B$3:$F$23,5,0),)</f>
        <v>0</v>
      </c>
      <c r="Q207" s="471" t="str">
        <f>IFERROR(VLOOKUP(G207,MODULY_CBA!$B$3:$I$23,6,0),"")</f>
        <v/>
      </c>
      <c r="R207" s="383"/>
      <c r="S207" s="383"/>
      <c r="T207" s="383"/>
      <c r="U207" s="383"/>
      <c r="V207" s="383"/>
      <c r="W207" s="383"/>
      <c r="X207" s="383"/>
      <c r="Y207" s="383"/>
      <c r="Z207" s="383"/>
      <c r="AA207" s="383"/>
      <c r="AB207" s="383"/>
      <c r="AC207" s="383"/>
      <c r="AD207" s="383"/>
      <c r="AE207" s="383"/>
      <c r="AF207" s="377"/>
    </row>
    <row r="208" spans="1:32">
      <c r="A208" s="393"/>
      <c r="B208" s="393"/>
      <c r="C208" s="524"/>
      <c r="D208" s="524"/>
      <c r="E208" s="524"/>
      <c r="F208" s="384"/>
      <c r="G208" s="384"/>
      <c r="H208" s="639"/>
      <c r="I208" s="639"/>
      <c r="J208" s="381">
        <f t="shared" si="15"/>
        <v>0</v>
      </c>
      <c r="K208" s="381">
        <f t="shared" si="16"/>
        <v>0</v>
      </c>
      <c r="L208" s="634">
        <f>IFERROR(IF(B208="funkcna poziadavka",VLOOKUP(G208,MODULY_CBA!$B$3:$E$23,4,0)*H208/SUMIFS($H$3:$H$197,$G$3:$G$197,G208,$B$3:$B$197,B208),),)</f>
        <v>0</v>
      </c>
      <c r="M208" s="381">
        <f>IFERROR(IF(B208="Funkcna poziadavka",VLOOKUP(G208,MODULY_CBA!$B$3:$E$23,3,0),),)</f>
        <v>0</v>
      </c>
      <c r="N208" s="381">
        <f>IFERROR(IF(B208="funkcna poziadavka",VLOOKUP(G208,MODULY_CBA!$B$3:$E$23,2,0),),)</f>
        <v>0</v>
      </c>
      <c r="O208" s="380">
        <f t="shared" si="17"/>
        <v>0</v>
      </c>
      <c r="P208" s="379">
        <f>IFERROR(O208*VLOOKUP(G208,MODULY_CBA!$B$3:$F$23,5,0),)</f>
        <v>0</v>
      </c>
      <c r="Q208" s="471" t="str">
        <f>IFERROR(VLOOKUP(G208,MODULY_CBA!$B$3:$I$23,6,0),"")</f>
        <v/>
      </c>
      <c r="R208" s="383"/>
      <c r="S208" s="383"/>
      <c r="T208" s="383"/>
      <c r="U208" s="383"/>
      <c r="V208" s="383"/>
      <c r="W208" s="383"/>
      <c r="X208" s="383"/>
      <c r="Y208" s="383"/>
      <c r="Z208" s="383"/>
      <c r="AA208" s="383"/>
      <c r="AB208" s="383"/>
      <c r="AC208" s="383"/>
      <c r="AD208" s="383"/>
      <c r="AE208" s="383"/>
      <c r="AF208" s="377"/>
    </row>
    <row r="209" spans="1:32">
      <c r="A209" s="393"/>
      <c r="B209" s="393"/>
      <c r="C209" s="524"/>
      <c r="D209" s="524"/>
      <c r="E209" s="524"/>
      <c r="F209" s="384"/>
      <c r="G209" s="384"/>
      <c r="H209" s="639"/>
      <c r="I209" s="639"/>
      <c r="J209" s="381">
        <f t="shared" si="15"/>
        <v>0</v>
      </c>
      <c r="K209" s="381">
        <f t="shared" si="16"/>
        <v>0</v>
      </c>
      <c r="L209" s="634">
        <f>IFERROR(IF(B209="funkcna poziadavka",VLOOKUP(G209,MODULY_CBA!$B$3:$E$23,4,0)*H209/SUMIFS($H$3:$H$197,$G$3:$G$197,G209,$B$3:$B$197,B209),),)</f>
        <v>0</v>
      </c>
      <c r="M209" s="381">
        <f>IFERROR(IF(B209="Funkcna poziadavka",VLOOKUP(G209,MODULY_CBA!$B$3:$E$23,3,0),),)</f>
        <v>0</v>
      </c>
      <c r="N209" s="381">
        <f>IFERROR(IF(B209="funkcna poziadavka",VLOOKUP(G209,MODULY_CBA!$B$3:$E$23,2,0),),)</f>
        <v>0</v>
      </c>
      <c r="O209" s="380">
        <f t="shared" si="17"/>
        <v>0</v>
      </c>
      <c r="P209" s="379">
        <f>IFERROR(O209*VLOOKUP(G209,MODULY_CBA!$B$3:$F$23,5,0),)</f>
        <v>0</v>
      </c>
      <c r="Q209" s="471" t="str">
        <f>IFERROR(VLOOKUP(G209,MODULY_CBA!$B$3:$I$23,6,0),"")</f>
        <v/>
      </c>
      <c r="R209" s="383"/>
      <c r="S209" s="383"/>
      <c r="T209" s="383"/>
      <c r="U209" s="383"/>
      <c r="V209" s="383"/>
      <c r="W209" s="383"/>
      <c r="X209" s="383"/>
      <c r="Y209" s="383"/>
      <c r="Z209" s="383"/>
      <c r="AA209" s="383"/>
      <c r="AB209" s="383"/>
      <c r="AC209" s="383"/>
      <c r="AD209" s="383"/>
      <c r="AE209" s="383"/>
      <c r="AF209" s="377"/>
    </row>
    <row r="210" spans="1:32">
      <c r="A210" s="393"/>
      <c r="B210" s="393"/>
      <c r="C210" s="524"/>
      <c r="D210" s="524"/>
      <c r="E210" s="524"/>
      <c r="F210" s="384"/>
      <c r="G210" s="384"/>
      <c r="H210" s="639"/>
      <c r="I210" s="639"/>
      <c r="J210" s="381">
        <f t="shared" si="15"/>
        <v>0</v>
      </c>
      <c r="K210" s="381">
        <f t="shared" si="16"/>
        <v>0</v>
      </c>
      <c r="L210" s="634">
        <f>IFERROR(IF(B210="funkcna poziadavka",VLOOKUP(G210,MODULY_CBA!$B$3:$E$23,4,0)*H210/SUMIFS($H$3:$H$197,$G$3:$G$197,G210,$B$3:$B$197,B210),),)</f>
        <v>0</v>
      </c>
      <c r="M210" s="381">
        <f>IFERROR(IF(B210="Funkcna poziadavka",VLOOKUP(G210,MODULY_CBA!$B$3:$E$23,3,0),),)</f>
        <v>0</v>
      </c>
      <c r="N210" s="381">
        <f>IFERROR(IF(B210="funkcna poziadavka",VLOOKUP(G210,MODULY_CBA!$B$3:$E$23,2,0),),)</f>
        <v>0</v>
      </c>
      <c r="O210" s="380">
        <f t="shared" si="17"/>
        <v>0</v>
      </c>
      <c r="P210" s="379">
        <f>IFERROR(O210*VLOOKUP(G210,MODULY_CBA!$B$3:$F$23,5,0),)</f>
        <v>0</v>
      </c>
      <c r="Q210" s="471" t="str">
        <f>IFERROR(VLOOKUP(G210,MODULY_CBA!$B$3:$I$23,6,0),"")</f>
        <v/>
      </c>
      <c r="R210" s="383"/>
      <c r="S210" s="383"/>
      <c r="T210" s="383"/>
      <c r="U210" s="383"/>
      <c r="V210" s="383"/>
      <c r="W210" s="383"/>
      <c r="X210" s="383"/>
      <c r="Y210" s="383"/>
      <c r="Z210" s="383"/>
      <c r="AA210" s="383"/>
      <c r="AB210" s="383"/>
      <c r="AC210" s="383"/>
      <c r="AD210" s="383"/>
      <c r="AE210" s="383"/>
      <c r="AF210" s="377"/>
    </row>
    <row r="211" spans="1:32">
      <c r="A211" s="393"/>
      <c r="B211" s="393"/>
      <c r="C211" s="524"/>
      <c r="D211" s="524"/>
      <c r="E211" s="524"/>
      <c r="F211" s="384"/>
      <c r="G211" s="384"/>
      <c r="H211" s="639"/>
      <c r="I211" s="639"/>
      <c r="J211" s="381">
        <f t="shared" si="15"/>
        <v>0</v>
      </c>
      <c r="K211" s="381">
        <f t="shared" si="16"/>
        <v>0</v>
      </c>
      <c r="L211" s="634">
        <f>IFERROR(IF(B211="funkcna poziadavka",VLOOKUP(G211,MODULY_CBA!$B$3:$E$23,4,0)*H211/SUMIFS($H$3:$H$197,$G$3:$G$197,G211,$B$3:$B$197,B211),),)</f>
        <v>0</v>
      </c>
      <c r="M211" s="381">
        <f>IFERROR(IF(B211="Funkcna poziadavka",VLOOKUP(G211,MODULY_CBA!$B$3:$E$23,3,0),),)</f>
        <v>0</v>
      </c>
      <c r="N211" s="381">
        <f>IFERROR(IF(B211="funkcna poziadavka",VLOOKUP(G211,MODULY_CBA!$B$3:$E$23,2,0),),)</f>
        <v>0</v>
      </c>
      <c r="O211" s="380">
        <f t="shared" si="17"/>
        <v>0</v>
      </c>
      <c r="P211" s="379">
        <f>IFERROR(O211*VLOOKUP(G211,MODULY_CBA!$B$3:$F$23,5,0),)</f>
        <v>0</v>
      </c>
      <c r="Q211" s="471" t="str">
        <f>IFERROR(VLOOKUP(G211,MODULY_CBA!$B$3:$I$23,6,0),"")</f>
        <v/>
      </c>
      <c r="R211" s="383"/>
      <c r="S211" s="383"/>
      <c r="T211" s="383"/>
      <c r="U211" s="383"/>
      <c r="V211" s="383"/>
      <c r="W211" s="383"/>
      <c r="X211" s="383"/>
      <c r="Y211" s="383"/>
      <c r="Z211" s="383"/>
      <c r="AA211" s="383"/>
      <c r="AB211" s="383"/>
      <c r="AC211" s="383"/>
      <c r="AD211" s="383"/>
      <c r="AE211" s="383"/>
      <c r="AF211" s="377"/>
    </row>
    <row r="212" spans="1:32">
      <c r="A212" s="393"/>
      <c r="B212" s="393"/>
      <c r="C212" s="524"/>
      <c r="D212" s="524"/>
      <c r="E212" s="524"/>
      <c r="F212" s="384"/>
      <c r="G212" s="384"/>
      <c r="H212" s="639"/>
      <c r="I212" s="639"/>
      <c r="J212" s="381">
        <f t="shared" si="15"/>
        <v>0</v>
      </c>
      <c r="K212" s="381">
        <f t="shared" si="16"/>
        <v>0</v>
      </c>
      <c r="L212" s="634">
        <f>IFERROR(IF(B212="funkcna poziadavka",VLOOKUP(G212,MODULY_CBA!$B$3:$E$23,4,0)*H212/SUMIFS($H$3:$H$197,$G$3:$G$197,G212,$B$3:$B$197,B212),),)</f>
        <v>0</v>
      </c>
      <c r="M212" s="381">
        <f>IFERROR(IF(B212="Funkcna poziadavka",VLOOKUP(G212,MODULY_CBA!$B$3:$E$23,3,0),),)</f>
        <v>0</v>
      </c>
      <c r="N212" s="381">
        <f>IFERROR(IF(B212="funkcna poziadavka",VLOOKUP(G212,MODULY_CBA!$B$3:$E$23,2,0),),)</f>
        <v>0</v>
      </c>
      <c r="O212" s="380">
        <f t="shared" si="17"/>
        <v>0</v>
      </c>
      <c r="P212" s="379">
        <f>IFERROR(O212*VLOOKUP(G212,MODULY_CBA!$B$3:$F$23,5,0),)</f>
        <v>0</v>
      </c>
      <c r="Q212" s="471" t="str">
        <f>IFERROR(VLOOKUP(G212,MODULY_CBA!$B$3:$I$23,6,0),"")</f>
        <v/>
      </c>
      <c r="R212" s="383"/>
      <c r="S212" s="383"/>
      <c r="T212" s="383"/>
      <c r="U212" s="383"/>
      <c r="V212" s="383"/>
      <c r="W212" s="383"/>
      <c r="X212" s="383"/>
      <c r="Y212" s="383"/>
      <c r="Z212" s="383"/>
      <c r="AA212" s="383"/>
      <c r="AB212" s="383"/>
      <c r="AC212" s="383"/>
      <c r="AD212" s="383"/>
      <c r="AE212" s="383"/>
      <c r="AF212" s="377"/>
    </row>
    <row r="213" spans="1:32">
      <c r="A213" s="393"/>
      <c r="B213" s="393"/>
      <c r="C213" s="524"/>
      <c r="D213" s="524"/>
      <c r="E213" s="524"/>
      <c r="F213" s="384"/>
      <c r="G213" s="384"/>
      <c r="H213" s="639"/>
      <c r="I213" s="639"/>
      <c r="J213" s="381">
        <f t="shared" si="15"/>
        <v>0</v>
      </c>
      <c r="K213" s="381">
        <f t="shared" si="16"/>
        <v>0</v>
      </c>
      <c r="L213" s="634">
        <f>IFERROR(IF(B213="funkcna poziadavka",VLOOKUP(G213,MODULY_CBA!$B$3:$E$23,4,0)*H213/SUMIFS($H$3:$H$197,$G$3:$G$197,G213,$B$3:$B$197,B213),),)</f>
        <v>0</v>
      </c>
      <c r="M213" s="381">
        <f>IFERROR(IF(B213="Funkcna poziadavka",VLOOKUP(G213,MODULY_CBA!$B$3:$E$23,3,0),),)</f>
        <v>0</v>
      </c>
      <c r="N213" s="381">
        <f>IFERROR(IF(B213="funkcna poziadavka",VLOOKUP(G213,MODULY_CBA!$B$3:$E$23,2,0),),)</f>
        <v>0</v>
      </c>
      <c r="O213" s="380">
        <f t="shared" si="17"/>
        <v>0</v>
      </c>
      <c r="P213" s="379">
        <f>IFERROR(O213*VLOOKUP(G213,MODULY_CBA!$B$3:$F$23,5,0),)</f>
        <v>0</v>
      </c>
      <c r="Q213" s="471" t="str">
        <f>IFERROR(VLOOKUP(G213,MODULY_CBA!$B$3:$I$23,6,0),"")</f>
        <v/>
      </c>
      <c r="R213" s="383"/>
      <c r="S213" s="383"/>
      <c r="T213" s="383"/>
      <c r="U213" s="383"/>
      <c r="V213" s="383"/>
      <c r="W213" s="383"/>
      <c r="X213" s="383"/>
      <c r="Y213" s="383"/>
      <c r="Z213" s="383"/>
      <c r="AA213" s="383"/>
      <c r="AB213" s="383"/>
      <c r="AC213" s="383"/>
      <c r="AD213" s="383"/>
      <c r="AE213" s="383"/>
      <c r="AF213" s="377"/>
    </row>
    <row r="214" spans="1:32">
      <c r="A214" s="393"/>
      <c r="B214" s="393"/>
      <c r="C214" s="524"/>
      <c r="D214" s="524"/>
      <c r="E214" s="524"/>
      <c r="F214" s="384"/>
      <c r="G214" s="384"/>
      <c r="H214" s="639"/>
      <c r="I214" s="639"/>
      <c r="J214" s="381">
        <f t="shared" si="15"/>
        <v>0</v>
      </c>
      <c r="K214" s="381">
        <f t="shared" si="16"/>
        <v>0</v>
      </c>
      <c r="L214" s="634">
        <f>IFERROR(IF(B214="funkcna poziadavka",VLOOKUP(G214,MODULY_CBA!$B$3:$E$23,4,0)*H214/SUMIFS($H$3:$H$197,$G$3:$G$197,G214,$B$3:$B$197,B214),),)</f>
        <v>0</v>
      </c>
      <c r="M214" s="381">
        <f>IFERROR(IF(B214="Funkcna poziadavka",VLOOKUP(G214,MODULY_CBA!$B$3:$E$23,3,0),),)</f>
        <v>0</v>
      </c>
      <c r="N214" s="381">
        <f>IFERROR(IF(B214="funkcna poziadavka",VLOOKUP(G214,MODULY_CBA!$B$3:$E$23,2,0),),)</f>
        <v>0</v>
      </c>
      <c r="O214" s="380">
        <f t="shared" si="17"/>
        <v>0</v>
      </c>
      <c r="P214" s="379">
        <f>IFERROR(O214*VLOOKUP(G214,MODULY_CBA!$B$3:$F$23,5,0),)</f>
        <v>0</v>
      </c>
      <c r="Q214" s="471" t="str">
        <f>IFERROR(VLOOKUP(G214,MODULY_CBA!$B$3:$I$23,6,0),"")</f>
        <v/>
      </c>
      <c r="R214" s="383"/>
      <c r="S214" s="383"/>
      <c r="T214" s="383"/>
      <c r="U214" s="383"/>
      <c r="V214" s="383"/>
      <c r="W214" s="383"/>
      <c r="X214" s="383"/>
      <c r="Y214" s="383"/>
      <c r="Z214" s="383"/>
      <c r="AA214" s="383"/>
      <c r="AB214" s="383"/>
      <c r="AC214" s="383"/>
      <c r="AD214" s="383"/>
      <c r="AE214" s="383"/>
      <c r="AF214" s="377"/>
    </row>
    <row r="215" spans="1:32">
      <c r="A215" s="393"/>
      <c r="B215" s="393"/>
      <c r="C215" s="524"/>
      <c r="D215" s="524"/>
      <c r="E215" s="524"/>
      <c r="F215" s="384"/>
      <c r="G215" s="384"/>
      <c r="H215" s="639"/>
      <c r="I215" s="639"/>
      <c r="J215" s="381">
        <f t="shared" si="15"/>
        <v>0</v>
      </c>
      <c r="K215" s="381">
        <f t="shared" si="16"/>
        <v>0</v>
      </c>
      <c r="L215" s="634">
        <f>IFERROR(IF(B215="funkcna poziadavka",VLOOKUP(G215,MODULY_CBA!$B$3:$E$23,4,0)*H215/SUMIFS($H$3:$H$197,$G$3:$G$197,G215,$B$3:$B$197,B215),),)</f>
        <v>0</v>
      </c>
      <c r="M215" s="381">
        <f>IFERROR(IF(B215="Funkcna poziadavka",VLOOKUP(G215,MODULY_CBA!$B$3:$E$23,3,0),),)</f>
        <v>0</v>
      </c>
      <c r="N215" s="381">
        <f>IFERROR(IF(B215="funkcna poziadavka",VLOOKUP(G215,MODULY_CBA!$B$3:$E$23,2,0),),)</f>
        <v>0</v>
      </c>
      <c r="O215" s="380">
        <f t="shared" si="17"/>
        <v>0</v>
      </c>
      <c r="P215" s="379">
        <f>IFERROR(O215*VLOOKUP(G215,MODULY_CBA!$B$3:$F$23,5,0),)</f>
        <v>0</v>
      </c>
      <c r="Q215" s="471" t="str">
        <f>IFERROR(VLOOKUP(G215,MODULY_CBA!$B$3:$I$23,6,0),"")</f>
        <v/>
      </c>
      <c r="R215" s="383"/>
      <c r="S215" s="383"/>
      <c r="T215" s="383"/>
      <c r="U215" s="383"/>
      <c r="V215" s="383"/>
      <c r="W215" s="383"/>
      <c r="X215" s="383"/>
      <c r="Y215" s="383"/>
      <c r="Z215" s="383"/>
      <c r="AA215" s="383"/>
      <c r="AB215" s="383"/>
      <c r="AC215" s="383"/>
      <c r="AD215" s="383"/>
      <c r="AE215" s="383"/>
      <c r="AF215" s="377"/>
    </row>
    <row r="216" spans="1:32">
      <c r="A216" s="393"/>
      <c r="B216" s="393"/>
      <c r="C216" s="524"/>
      <c r="D216" s="524"/>
      <c r="E216" s="524"/>
      <c r="F216" s="384"/>
      <c r="G216" s="384"/>
      <c r="H216" s="639"/>
      <c r="I216" s="639"/>
      <c r="J216" s="381">
        <f t="shared" si="15"/>
        <v>0</v>
      </c>
      <c r="K216" s="381">
        <f t="shared" si="16"/>
        <v>0</v>
      </c>
      <c r="L216" s="634">
        <f>IFERROR(IF(B216="funkcna poziadavka",VLOOKUP(G216,MODULY_CBA!$B$3:$E$23,4,0)*H216/SUMIFS($H$3:$H$197,$G$3:$G$197,G216,$B$3:$B$197,B216),),)</f>
        <v>0</v>
      </c>
      <c r="M216" s="381">
        <f>IFERROR(IF(B216="Funkcna poziadavka",VLOOKUP(G216,MODULY_CBA!$B$3:$E$23,3,0),),)</f>
        <v>0</v>
      </c>
      <c r="N216" s="381">
        <f>IFERROR(IF(B216="funkcna poziadavka",VLOOKUP(G216,MODULY_CBA!$B$3:$E$23,2,0),),)</f>
        <v>0</v>
      </c>
      <c r="O216" s="380">
        <f t="shared" si="17"/>
        <v>0</v>
      </c>
      <c r="P216" s="379">
        <f>IFERROR(O216*VLOOKUP(G216,MODULY_CBA!$B$3:$F$23,5,0),)</f>
        <v>0</v>
      </c>
      <c r="Q216" s="471" t="str">
        <f>IFERROR(VLOOKUP(G216,MODULY_CBA!$B$3:$I$23,6,0),"")</f>
        <v/>
      </c>
      <c r="R216" s="383"/>
      <c r="S216" s="383"/>
      <c r="T216" s="383"/>
      <c r="U216" s="383"/>
      <c r="V216" s="383"/>
      <c r="W216" s="383"/>
      <c r="X216" s="383"/>
      <c r="Y216" s="383"/>
      <c r="Z216" s="383"/>
      <c r="AA216" s="383"/>
      <c r="AB216" s="383"/>
      <c r="AC216" s="383"/>
      <c r="AD216" s="383"/>
      <c r="AE216" s="383"/>
      <c r="AF216" s="377"/>
    </row>
    <row r="217" spans="1:32">
      <c r="A217" s="393"/>
      <c r="B217" s="393"/>
      <c r="C217" s="524"/>
      <c r="D217" s="524"/>
      <c r="E217" s="524"/>
      <c r="F217" s="384"/>
      <c r="G217" s="384"/>
      <c r="H217" s="639"/>
      <c r="I217" s="639"/>
      <c r="J217" s="381">
        <f t="shared" si="15"/>
        <v>0</v>
      </c>
      <c r="K217" s="381">
        <f t="shared" si="16"/>
        <v>0</v>
      </c>
      <c r="L217" s="634">
        <f>IFERROR(IF(B217="funkcna poziadavka",VLOOKUP(G217,MODULY_CBA!$B$3:$E$23,4,0)*H217/SUMIFS($H$3:$H$197,$G$3:$G$197,G217,$B$3:$B$197,B217),),)</f>
        <v>0</v>
      </c>
      <c r="M217" s="381">
        <f>IFERROR(IF(B217="Funkcna poziadavka",VLOOKUP(G217,MODULY_CBA!$B$3:$E$23,3,0),),)</f>
        <v>0</v>
      </c>
      <c r="N217" s="381">
        <f>IFERROR(IF(B217="funkcna poziadavka",VLOOKUP(G217,MODULY_CBA!$B$3:$E$23,2,0),),)</f>
        <v>0</v>
      </c>
      <c r="O217" s="380">
        <f t="shared" si="17"/>
        <v>0</v>
      </c>
      <c r="P217" s="379">
        <f>IFERROR(O217*VLOOKUP(G217,MODULY_CBA!$B$3:$F$23,5,0),)</f>
        <v>0</v>
      </c>
      <c r="Q217" s="471" t="str">
        <f>IFERROR(VLOOKUP(G217,MODULY_CBA!$B$3:$I$23,6,0),"")</f>
        <v/>
      </c>
      <c r="R217" s="383"/>
      <c r="S217" s="383"/>
      <c r="T217" s="383"/>
      <c r="U217" s="383"/>
      <c r="V217" s="383"/>
      <c r="W217" s="383"/>
      <c r="X217" s="383"/>
      <c r="Y217" s="383"/>
      <c r="Z217" s="383"/>
      <c r="AA217" s="383"/>
      <c r="AB217" s="383"/>
      <c r="AC217" s="383"/>
      <c r="AD217" s="383"/>
      <c r="AE217" s="383"/>
      <c r="AF217" s="377"/>
    </row>
    <row r="218" spans="1:32">
      <c r="A218" s="393"/>
      <c r="B218" s="393"/>
      <c r="C218" s="524"/>
      <c r="D218" s="524"/>
      <c r="E218" s="524"/>
      <c r="F218" s="384"/>
      <c r="G218" s="384"/>
      <c r="H218" s="639"/>
      <c r="I218" s="639"/>
      <c r="J218" s="381">
        <f t="shared" si="15"/>
        <v>0</v>
      </c>
      <c r="K218" s="381">
        <f t="shared" si="16"/>
        <v>0</v>
      </c>
      <c r="L218" s="634">
        <f>IFERROR(IF(B218="funkcna poziadavka",VLOOKUP(G218,MODULY_CBA!$B$3:$E$23,4,0)*H218/SUMIFS($H$3:$H$197,$G$3:$G$197,G218,$B$3:$B$197,B218),),)</f>
        <v>0</v>
      </c>
      <c r="M218" s="381">
        <f>IFERROR(IF(B218="Funkcna poziadavka",VLOOKUP(G218,MODULY_CBA!$B$3:$E$23,3,0),),)</f>
        <v>0</v>
      </c>
      <c r="N218" s="381">
        <f>IFERROR(IF(B218="funkcna poziadavka",VLOOKUP(G218,MODULY_CBA!$B$3:$E$23,2,0),),)</f>
        <v>0</v>
      </c>
      <c r="O218" s="380">
        <f t="shared" si="17"/>
        <v>0</v>
      </c>
      <c r="P218" s="379">
        <f>IFERROR(O218*VLOOKUP(G218,MODULY_CBA!$B$3:$F$23,5,0),)</f>
        <v>0</v>
      </c>
      <c r="Q218" s="471" t="str">
        <f>IFERROR(VLOOKUP(G218,MODULY_CBA!$B$3:$I$23,6,0),"")</f>
        <v/>
      </c>
      <c r="R218" s="383"/>
      <c r="S218" s="383"/>
      <c r="T218" s="383"/>
      <c r="U218" s="383"/>
      <c r="V218" s="383"/>
      <c r="W218" s="383"/>
      <c r="X218" s="383"/>
      <c r="Y218" s="383"/>
      <c r="Z218" s="383"/>
      <c r="AA218" s="383"/>
      <c r="AB218" s="383"/>
      <c r="AC218" s="383"/>
      <c r="AD218" s="383"/>
      <c r="AE218" s="383"/>
      <c r="AF218" s="377"/>
    </row>
    <row r="219" spans="1:32">
      <c r="A219" s="393"/>
      <c r="B219" s="393"/>
      <c r="C219" s="524"/>
      <c r="D219" s="524"/>
      <c r="E219" s="524"/>
      <c r="F219" s="384"/>
      <c r="G219" s="384"/>
      <c r="H219" s="639"/>
      <c r="I219" s="639"/>
      <c r="J219" s="381">
        <f t="shared" si="15"/>
        <v>0</v>
      </c>
      <c r="K219" s="381">
        <f t="shared" si="16"/>
        <v>0</v>
      </c>
      <c r="L219" s="634">
        <f>IFERROR(IF(B219="funkcna poziadavka",VLOOKUP(G219,MODULY_CBA!$B$3:$E$23,4,0)*H219/SUMIFS($H$3:$H$197,$G$3:$G$197,G219,$B$3:$B$197,B219),),)</f>
        <v>0</v>
      </c>
      <c r="M219" s="381">
        <f>IFERROR(IF(B219="Funkcna poziadavka",VLOOKUP(G219,MODULY_CBA!$B$3:$E$23,3,0),),)</f>
        <v>0</v>
      </c>
      <c r="N219" s="381">
        <f>IFERROR(IF(B219="funkcna poziadavka",VLOOKUP(G219,MODULY_CBA!$B$3:$E$23,2,0),),)</f>
        <v>0</v>
      </c>
      <c r="O219" s="380">
        <f t="shared" si="17"/>
        <v>0</v>
      </c>
      <c r="P219" s="379">
        <f>IFERROR(O219*VLOOKUP(G219,MODULY_CBA!$B$3:$F$23,5,0),)</f>
        <v>0</v>
      </c>
      <c r="Q219" s="471" t="str">
        <f>IFERROR(VLOOKUP(G219,MODULY_CBA!$B$3:$I$23,6,0),"")</f>
        <v/>
      </c>
      <c r="R219" s="383"/>
      <c r="S219" s="383"/>
      <c r="T219" s="383"/>
      <c r="U219" s="383"/>
      <c r="V219" s="383"/>
      <c r="W219" s="383"/>
      <c r="X219" s="383"/>
      <c r="Y219" s="383"/>
      <c r="Z219" s="383"/>
      <c r="AA219" s="383"/>
      <c r="AB219" s="383"/>
      <c r="AC219" s="383"/>
      <c r="AD219" s="383"/>
      <c r="AE219" s="383"/>
      <c r="AF219" s="377"/>
    </row>
    <row r="220" spans="1:32">
      <c r="A220" s="393"/>
      <c r="B220" s="393"/>
      <c r="C220" s="524"/>
      <c r="D220" s="524"/>
      <c r="E220" s="524"/>
      <c r="F220" s="384"/>
      <c r="G220" s="384"/>
      <c r="H220" s="639"/>
      <c r="I220" s="639"/>
      <c r="J220" s="381">
        <f t="shared" si="15"/>
        <v>0</v>
      </c>
      <c r="K220" s="381">
        <f t="shared" si="16"/>
        <v>0</v>
      </c>
      <c r="L220" s="634">
        <f>IFERROR(IF(B220="funkcna poziadavka",VLOOKUP(G220,MODULY_CBA!$B$3:$E$23,4,0)*H220/SUMIFS($H$3:$H$197,$G$3:$G$197,G220,$B$3:$B$197,B220),),)</f>
        <v>0</v>
      </c>
      <c r="M220" s="381">
        <f>IFERROR(IF(B220="Funkcna poziadavka",VLOOKUP(G220,MODULY_CBA!$B$3:$E$23,3,0),),)</f>
        <v>0</v>
      </c>
      <c r="N220" s="381">
        <f>IFERROR(IF(B220="funkcna poziadavka",VLOOKUP(G220,MODULY_CBA!$B$3:$E$23,2,0),),)</f>
        <v>0</v>
      </c>
      <c r="O220" s="380">
        <f t="shared" si="17"/>
        <v>0</v>
      </c>
      <c r="P220" s="379">
        <f>IFERROR(O220*VLOOKUP(G220,MODULY_CBA!$B$3:$F$23,5,0),)</f>
        <v>0</v>
      </c>
      <c r="Q220" s="471" t="str">
        <f>IFERROR(VLOOKUP(G220,MODULY_CBA!$B$3:$I$23,6,0),"")</f>
        <v/>
      </c>
      <c r="R220" s="383"/>
      <c r="S220" s="383"/>
      <c r="T220" s="383"/>
      <c r="U220" s="383"/>
      <c r="V220" s="383"/>
      <c r="W220" s="383"/>
      <c r="X220" s="383"/>
      <c r="Y220" s="383"/>
      <c r="Z220" s="383"/>
      <c r="AA220" s="383"/>
      <c r="AB220" s="383"/>
      <c r="AC220" s="383"/>
      <c r="AD220" s="383"/>
      <c r="AE220" s="383"/>
      <c r="AF220" s="377"/>
    </row>
    <row r="221" spans="1:32">
      <c r="A221" s="393"/>
      <c r="B221" s="393"/>
      <c r="C221" s="524"/>
      <c r="D221" s="524"/>
      <c r="E221" s="524"/>
      <c r="F221" s="384"/>
      <c r="G221" s="384"/>
      <c r="H221" s="639"/>
      <c r="I221" s="639"/>
      <c r="J221" s="381">
        <f t="shared" si="15"/>
        <v>0</v>
      </c>
      <c r="K221" s="381">
        <f t="shared" si="16"/>
        <v>0</v>
      </c>
      <c r="L221" s="634">
        <f>IFERROR(IF(B221="funkcna poziadavka",VLOOKUP(G221,MODULY_CBA!$B$3:$E$23,4,0)*H221/SUMIFS($H$3:$H$197,$G$3:$G$197,G221,$B$3:$B$197,B221),),)</f>
        <v>0</v>
      </c>
      <c r="M221" s="381">
        <f>IFERROR(IF(B221="Funkcna poziadavka",VLOOKUP(G221,MODULY_CBA!$B$3:$E$23,3,0),),)</f>
        <v>0</v>
      </c>
      <c r="N221" s="381">
        <f>IFERROR(IF(B221="funkcna poziadavka",VLOOKUP(G221,MODULY_CBA!$B$3:$E$23,2,0),),)</f>
        <v>0</v>
      </c>
      <c r="O221" s="380">
        <f t="shared" si="17"/>
        <v>0</v>
      </c>
      <c r="P221" s="379">
        <f>IFERROR(O221*VLOOKUP(G221,MODULY_CBA!$B$3:$F$23,5,0),)</f>
        <v>0</v>
      </c>
      <c r="Q221" s="471" t="str">
        <f>IFERROR(VLOOKUP(G221,MODULY_CBA!$B$3:$I$23,6,0),"")</f>
        <v/>
      </c>
      <c r="R221" s="383"/>
      <c r="S221" s="383"/>
      <c r="T221" s="383"/>
      <c r="U221" s="383"/>
      <c r="V221" s="383"/>
      <c r="W221" s="383"/>
      <c r="X221" s="383"/>
      <c r="Y221" s="383"/>
      <c r="Z221" s="383"/>
      <c r="AA221" s="383"/>
      <c r="AB221" s="383"/>
      <c r="AC221" s="383"/>
      <c r="AD221" s="383"/>
      <c r="AE221" s="383"/>
      <c r="AF221" s="377"/>
    </row>
    <row r="222" spans="1:32">
      <c r="A222" s="393"/>
      <c r="B222" s="393"/>
      <c r="C222" s="524"/>
      <c r="D222" s="524"/>
      <c r="E222" s="524"/>
      <c r="F222" s="384"/>
      <c r="G222" s="384"/>
      <c r="H222" s="639"/>
      <c r="I222" s="639"/>
      <c r="J222" s="381">
        <f t="shared" si="15"/>
        <v>0</v>
      </c>
      <c r="K222" s="381">
        <f t="shared" si="16"/>
        <v>0</v>
      </c>
      <c r="L222" s="634">
        <f>IFERROR(IF(B222="funkcna poziadavka",VLOOKUP(G222,MODULY_CBA!$B$3:$E$23,4,0)*H222/SUMIFS($H$3:$H$197,$G$3:$G$197,G222,$B$3:$B$197,B222),),)</f>
        <v>0</v>
      </c>
      <c r="M222" s="381">
        <f>IFERROR(IF(B222="Funkcna poziadavka",VLOOKUP(G222,MODULY_CBA!$B$3:$E$23,3,0),),)</f>
        <v>0</v>
      </c>
      <c r="N222" s="381">
        <f>IFERROR(IF(B222="funkcna poziadavka",VLOOKUP(G222,MODULY_CBA!$B$3:$E$23,2,0),),)</f>
        <v>0</v>
      </c>
      <c r="O222" s="380">
        <f t="shared" si="17"/>
        <v>0</v>
      </c>
      <c r="P222" s="379">
        <f>IFERROR(O222*VLOOKUP(G222,MODULY_CBA!$B$3:$F$23,5,0),)</f>
        <v>0</v>
      </c>
      <c r="Q222" s="471" t="str">
        <f>IFERROR(VLOOKUP(G222,MODULY_CBA!$B$3:$I$23,6,0),"")</f>
        <v/>
      </c>
      <c r="R222" s="383"/>
      <c r="S222" s="383"/>
      <c r="T222" s="383"/>
      <c r="U222" s="383"/>
      <c r="V222" s="383"/>
      <c r="W222" s="383"/>
      <c r="X222" s="383"/>
      <c r="Y222" s="383"/>
      <c r="Z222" s="383"/>
      <c r="AA222" s="383"/>
      <c r="AB222" s="383"/>
      <c r="AC222" s="383"/>
      <c r="AD222" s="383"/>
      <c r="AE222" s="383"/>
      <c r="AF222" s="377"/>
    </row>
    <row r="223" spans="1:32">
      <c r="A223" s="393"/>
      <c r="B223" s="393"/>
      <c r="C223" s="524"/>
      <c r="D223" s="524"/>
      <c r="E223" s="524"/>
      <c r="F223" s="384"/>
      <c r="G223" s="384"/>
      <c r="H223" s="639"/>
      <c r="I223" s="639"/>
      <c r="J223" s="381">
        <f t="shared" si="15"/>
        <v>0</v>
      </c>
      <c r="K223" s="381">
        <f t="shared" si="16"/>
        <v>0</v>
      </c>
      <c r="L223" s="634">
        <f>IFERROR(IF(B223="funkcna poziadavka",VLOOKUP(G223,MODULY_CBA!$B$3:$E$23,4,0)*H223/SUMIFS($H$3:$H$197,$G$3:$G$197,G223,$B$3:$B$197,B223),),)</f>
        <v>0</v>
      </c>
      <c r="M223" s="381">
        <f>IFERROR(IF(B223="Funkcna poziadavka",VLOOKUP(G223,MODULY_CBA!$B$3:$E$23,3,0),),)</f>
        <v>0</v>
      </c>
      <c r="N223" s="381">
        <f>IFERROR(IF(B223="funkcna poziadavka",VLOOKUP(G223,MODULY_CBA!$B$3:$E$23,2,0),),)</f>
        <v>0</v>
      </c>
      <c r="O223" s="380">
        <f t="shared" si="17"/>
        <v>0</v>
      </c>
      <c r="P223" s="379">
        <f>IFERROR(O223*VLOOKUP(G223,MODULY_CBA!$B$3:$F$23,5,0),)</f>
        <v>0</v>
      </c>
      <c r="Q223" s="471" t="str">
        <f>IFERROR(VLOOKUP(G223,MODULY_CBA!$B$3:$I$23,6,0),"")</f>
        <v/>
      </c>
      <c r="R223" s="383"/>
      <c r="S223" s="383"/>
      <c r="T223" s="383"/>
      <c r="U223" s="383"/>
      <c r="V223" s="383"/>
      <c r="W223" s="383"/>
      <c r="X223" s="383"/>
      <c r="Y223" s="383"/>
      <c r="Z223" s="383"/>
      <c r="AA223" s="383"/>
      <c r="AB223" s="383"/>
      <c r="AC223" s="383"/>
      <c r="AD223" s="383"/>
      <c r="AE223" s="383"/>
      <c r="AF223" s="377"/>
    </row>
    <row r="224" spans="1:32">
      <c r="A224" s="393"/>
      <c r="B224" s="393"/>
      <c r="C224" s="524"/>
      <c r="D224" s="524"/>
      <c r="E224" s="524"/>
      <c r="F224" s="384"/>
      <c r="G224" s="384"/>
      <c r="H224" s="639"/>
      <c r="I224" s="639"/>
      <c r="J224" s="381">
        <f t="shared" si="15"/>
        <v>0</v>
      </c>
      <c r="K224" s="381">
        <f t="shared" si="16"/>
        <v>0</v>
      </c>
      <c r="L224" s="634">
        <f>IFERROR(IF(B224="funkcna poziadavka",VLOOKUP(G224,MODULY_CBA!$B$3:$E$23,4,0)*H224/SUMIFS($H$3:$H$197,$G$3:$G$197,G224,$B$3:$B$197,B224),),)</f>
        <v>0</v>
      </c>
      <c r="M224" s="381">
        <f>IFERROR(IF(B224="Funkcna poziadavka",VLOOKUP(G224,MODULY_CBA!$B$3:$E$23,3,0),),)</f>
        <v>0</v>
      </c>
      <c r="N224" s="381">
        <f>IFERROR(IF(B224="funkcna poziadavka",VLOOKUP(G224,MODULY_CBA!$B$3:$E$23,2,0),),)</f>
        <v>0</v>
      </c>
      <c r="O224" s="380">
        <f t="shared" si="17"/>
        <v>0</v>
      </c>
      <c r="P224" s="379">
        <f>IFERROR(O224*VLOOKUP(G224,MODULY_CBA!$B$3:$F$23,5,0),)</f>
        <v>0</v>
      </c>
      <c r="Q224" s="471" t="str">
        <f>IFERROR(VLOOKUP(G224,MODULY_CBA!$B$3:$I$23,6,0),"")</f>
        <v/>
      </c>
      <c r="R224" s="383"/>
      <c r="S224" s="383"/>
      <c r="T224" s="383"/>
      <c r="U224" s="383"/>
      <c r="V224" s="383"/>
      <c r="W224" s="383"/>
      <c r="X224" s="383"/>
      <c r="Y224" s="383"/>
      <c r="Z224" s="383"/>
      <c r="AA224" s="383"/>
      <c r="AB224" s="383"/>
      <c r="AC224" s="383"/>
      <c r="AD224" s="383"/>
      <c r="AE224" s="383"/>
      <c r="AF224" s="377"/>
    </row>
    <row r="225" spans="1:32">
      <c r="A225" s="393"/>
      <c r="B225" s="393"/>
      <c r="C225" s="524"/>
      <c r="D225" s="524"/>
      <c r="E225" s="524"/>
      <c r="F225" s="384"/>
      <c r="G225" s="384"/>
      <c r="H225" s="639"/>
      <c r="I225" s="639"/>
      <c r="J225" s="381">
        <f t="shared" si="15"/>
        <v>0</v>
      </c>
      <c r="K225" s="381">
        <f t="shared" si="16"/>
        <v>0</v>
      </c>
      <c r="L225" s="634">
        <f>IFERROR(IF(B225="funkcna poziadavka",VLOOKUP(G225,MODULY_CBA!$B$3:$E$23,4,0)*H225/SUMIFS($H$3:$H$197,$G$3:$G$197,G225,$B$3:$B$197,B225),),)</f>
        <v>0</v>
      </c>
      <c r="M225" s="381">
        <f>IFERROR(IF(B225="Funkcna poziadavka",VLOOKUP(G225,MODULY_CBA!$B$3:$E$23,3,0),),)</f>
        <v>0</v>
      </c>
      <c r="N225" s="381">
        <f>IFERROR(IF(B225="funkcna poziadavka",VLOOKUP(G225,MODULY_CBA!$B$3:$E$23,2,0),),)</f>
        <v>0</v>
      </c>
      <c r="O225" s="380">
        <f t="shared" si="17"/>
        <v>0</v>
      </c>
      <c r="P225" s="379">
        <f>IFERROR(O225*VLOOKUP(G225,MODULY_CBA!$B$3:$F$23,5,0),)</f>
        <v>0</v>
      </c>
      <c r="Q225" s="471" t="str">
        <f>IFERROR(VLOOKUP(G225,MODULY_CBA!$B$3:$I$23,6,0),"")</f>
        <v/>
      </c>
      <c r="R225" s="383"/>
      <c r="S225" s="383"/>
      <c r="T225" s="383"/>
      <c r="U225" s="383"/>
      <c r="V225" s="383"/>
      <c r="W225" s="383"/>
      <c r="X225" s="383"/>
      <c r="Y225" s="383"/>
      <c r="Z225" s="383"/>
      <c r="AA225" s="383"/>
      <c r="AB225" s="383"/>
      <c r="AC225" s="383"/>
      <c r="AD225" s="383"/>
      <c r="AE225" s="383"/>
      <c r="AF225" s="377"/>
    </row>
    <row r="226" spans="1:32">
      <c r="A226" s="393"/>
      <c r="B226" s="393"/>
      <c r="C226" s="524"/>
      <c r="D226" s="524"/>
      <c r="E226" s="524"/>
      <c r="F226" s="384"/>
      <c r="G226" s="384"/>
      <c r="H226" s="639"/>
      <c r="I226" s="639"/>
      <c r="J226" s="381">
        <f t="shared" si="15"/>
        <v>0</v>
      </c>
      <c r="K226" s="381">
        <f t="shared" si="16"/>
        <v>0</v>
      </c>
      <c r="L226" s="634">
        <f>IFERROR(IF(B226="funkcna poziadavka",VLOOKUP(G226,MODULY_CBA!$B$3:$E$23,4,0)*H226/SUMIFS($H$3:$H$197,$G$3:$G$197,G226,$B$3:$B$197,B226),),)</f>
        <v>0</v>
      </c>
      <c r="M226" s="381">
        <f>IFERROR(IF(B226="Funkcna poziadavka",VLOOKUP(G226,MODULY_CBA!$B$3:$E$23,3,0),),)</f>
        <v>0</v>
      </c>
      <c r="N226" s="381">
        <f>IFERROR(IF(B226="funkcna poziadavka",VLOOKUP(G226,MODULY_CBA!$B$3:$E$23,2,0),),)</f>
        <v>0</v>
      </c>
      <c r="O226" s="380">
        <f t="shared" si="17"/>
        <v>0</v>
      </c>
      <c r="P226" s="379">
        <f>IFERROR(O226*VLOOKUP(G226,MODULY_CBA!$B$3:$F$23,5,0),)</f>
        <v>0</v>
      </c>
      <c r="Q226" s="471" t="str">
        <f>IFERROR(VLOOKUP(G226,MODULY_CBA!$B$3:$I$23,6,0),"")</f>
        <v/>
      </c>
      <c r="R226" s="383"/>
      <c r="S226" s="383"/>
      <c r="T226" s="383"/>
      <c r="U226" s="383"/>
      <c r="V226" s="383"/>
      <c r="W226" s="383"/>
      <c r="X226" s="383"/>
      <c r="Y226" s="383"/>
      <c r="Z226" s="383"/>
      <c r="AA226" s="383"/>
      <c r="AB226" s="383"/>
      <c r="AC226" s="383"/>
      <c r="AD226" s="383"/>
      <c r="AE226" s="383"/>
      <c r="AF226" s="377"/>
    </row>
    <row r="227" spans="1:32">
      <c r="A227" s="393"/>
      <c r="B227" s="393"/>
      <c r="C227" s="524"/>
      <c r="D227" s="524"/>
      <c r="E227" s="524"/>
      <c r="F227" s="384"/>
      <c r="G227" s="384"/>
      <c r="H227" s="639"/>
      <c r="I227" s="639"/>
      <c r="J227" s="381">
        <f t="shared" si="15"/>
        <v>0</v>
      </c>
      <c r="K227" s="381">
        <f t="shared" si="16"/>
        <v>0</v>
      </c>
      <c r="L227" s="634">
        <f>IFERROR(IF(B227="funkcna poziadavka",VLOOKUP(G227,MODULY_CBA!$B$3:$E$23,4,0)*H227/SUMIFS($H$3:$H$197,$G$3:$G$197,G227,$B$3:$B$197,B227),),)</f>
        <v>0</v>
      </c>
      <c r="M227" s="381">
        <f>IFERROR(IF(B227="Funkcna poziadavka",VLOOKUP(G227,MODULY_CBA!$B$3:$E$23,3,0),),)</f>
        <v>0</v>
      </c>
      <c r="N227" s="381">
        <f>IFERROR(IF(B227="funkcna poziadavka",VLOOKUP(G227,MODULY_CBA!$B$3:$E$23,2,0),),)</f>
        <v>0</v>
      </c>
      <c r="O227" s="380">
        <f t="shared" si="17"/>
        <v>0</v>
      </c>
      <c r="P227" s="379">
        <f>IFERROR(O227*VLOOKUP(G227,MODULY_CBA!$B$3:$F$23,5,0),)</f>
        <v>0</v>
      </c>
      <c r="Q227" s="471" t="str">
        <f>IFERROR(VLOOKUP(G227,MODULY_CBA!$B$3:$I$23,6,0),"")</f>
        <v/>
      </c>
      <c r="R227" s="383"/>
      <c r="S227" s="383"/>
      <c r="T227" s="383"/>
      <c r="U227" s="383"/>
      <c r="V227" s="383"/>
      <c r="W227" s="383"/>
      <c r="X227" s="383"/>
      <c r="Y227" s="383"/>
      <c r="Z227" s="383"/>
      <c r="AA227" s="383"/>
      <c r="AB227" s="383"/>
      <c r="AC227" s="383"/>
      <c r="AD227" s="383"/>
      <c r="AE227" s="383"/>
      <c r="AF227" s="377"/>
    </row>
    <row r="228" spans="1:32">
      <c r="A228" s="393"/>
      <c r="B228" s="393"/>
      <c r="C228" s="524"/>
      <c r="D228" s="524"/>
      <c r="E228" s="524"/>
      <c r="F228" s="384"/>
      <c r="G228" s="384"/>
      <c r="H228" s="639"/>
      <c r="I228" s="639"/>
      <c r="J228" s="381">
        <f t="shared" si="15"/>
        <v>0</v>
      </c>
      <c r="K228" s="381">
        <f t="shared" si="16"/>
        <v>0</v>
      </c>
      <c r="L228" s="634">
        <f>IFERROR(IF(B228="funkcna poziadavka",VLOOKUP(G228,MODULY_CBA!$B$3:$E$23,4,0)*H228/SUMIFS($H$3:$H$197,$G$3:$G$197,G228,$B$3:$B$197,B228),),)</f>
        <v>0</v>
      </c>
      <c r="M228" s="381">
        <f>IFERROR(IF(B228="Funkcna poziadavka",VLOOKUP(G228,MODULY_CBA!$B$3:$E$23,3,0),),)</f>
        <v>0</v>
      </c>
      <c r="N228" s="381">
        <f>IFERROR(IF(B228="funkcna poziadavka",VLOOKUP(G228,MODULY_CBA!$B$3:$E$23,2,0),),)</f>
        <v>0</v>
      </c>
      <c r="O228" s="380">
        <f t="shared" si="17"/>
        <v>0</v>
      </c>
      <c r="P228" s="379">
        <f>IFERROR(O228*VLOOKUP(G228,MODULY_CBA!$B$3:$F$23,5,0),)</f>
        <v>0</v>
      </c>
      <c r="Q228" s="471" t="str">
        <f>IFERROR(VLOOKUP(G228,MODULY_CBA!$B$3:$I$23,6,0),"")</f>
        <v/>
      </c>
      <c r="R228" s="383"/>
      <c r="S228" s="383"/>
      <c r="T228" s="383"/>
      <c r="U228" s="383"/>
      <c r="V228" s="383"/>
      <c r="W228" s="383"/>
      <c r="X228" s="383"/>
      <c r="Y228" s="383"/>
      <c r="Z228" s="383"/>
      <c r="AA228" s="383"/>
      <c r="AB228" s="383"/>
      <c r="AC228" s="383"/>
      <c r="AD228" s="383"/>
      <c r="AE228" s="383"/>
      <c r="AF228" s="377"/>
    </row>
    <row r="229" spans="1:32">
      <c r="A229" s="393"/>
      <c r="B229" s="393"/>
      <c r="C229" s="524"/>
      <c r="D229" s="524"/>
      <c r="E229" s="524"/>
      <c r="F229" s="384"/>
      <c r="G229" s="384"/>
      <c r="H229" s="639"/>
      <c r="I229" s="639"/>
      <c r="J229" s="381">
        <f t="shared" si="15"/>
        <v>0</v>
      </c>
      <c r="K229" s="381">
        <f t="shared" si="16"/>
        <v>0</v>
      </c>
      <c r="L229" s="634">
        <f>IFERROR(IF(B229="funkcna poziadavka",VLOOKUP(G229,MODULY_CBA!$B$3:$E$23,4,0)*H229/SUMIFS($H$3:$H$197,$G$3:$G$197,G229,$B$3:$B$197,B229),),)</f>
        <v>0</v>
      </c>
      <c r="M229" s="381">
        <f>IFERROR(IF(B229="Funkcna poziadavka",VLOOKUP(G229,MODULY_CBA!$B$3:$E$23,3,0),),)</f>
        <v>0</v>
      </c>
      <c r="N229" s="381">
        <f>IFERROR(IF(B229="funkcna poziadavka",VLOOKUP(G229,MODULY_CBA!$B$3:$E$23,2,0),),)</f>
        <v>0</v>
      </c>
      <c r="O229" s="380">
        <f t="shared" si="17"/>
        <v>0</v>
      </c>
      <c r="P229" s="379">
        <f>IFERROR(O229*VLOOKUP(G229,MODULY_CBA!$B$3:$F$23,5,0),)</f>
        <v>0</v>
      </c>
      <c r="Q229" s="471" t="str">
        <f>IFERROR(VLOOKUP(G229,MODULY_CBA!$B$3:$I$23,6,0),"")</f>
        <v/>
      </c>
      <c r="R229" s="383"/>
      <c r="S229" s="383"/>
      <c r="T229" s="383"/>
      <c r="U229" s="383"/>
      <c r="V229" s="383"/>
      <c r="W229" s="383"/>
      <c r="X229" s="383"/>
      <c r="Y229" s="383"/>
      <c r="Z229" s="383"/>
      <c r="AA229" s="383"/>
      <c r="AB229" s="383"/>
      <c r="AC229" s="383"/>
      <c r="AD229" s="383"/>
      <c r="AE229" s="383"/>
      <c r="AF229" s="377"/>
    </row>
    <row r="230" spans="1:32">
      <c r="A230" s="393"/>
      <c r="B230" s="393"/>
      <c r="C230" s="524"/>
      <c r="D230" s="524"/>
      <c r="E230" s="524"/>
      <c r="F230" s="384"/>
      <c r="G230" s="384"/>
      <c r="H230" s="639"/>
      <c r="I230" s="639"/>
      <c r="J230" s="381">
        <f t="shared" si="15"/>
        <v>0</v>
      </c>
      <c r="K230" s="381">
        <f t="shared" si="16"/>
        <v>0</v>
      </c>
      <c r="L230" s="634">
        <f>IFERROR(IF(B230="funkcna poziadavka",VLOOKUP(G230,MODULY_CBA!$B$3:$E$23,4,0)*H230/SUMIFS($H$3:$H$197,$G$3:$G$197,G230,$B$3:$B$197,B230),),)</f>
        <v>0</v>
      </c>
      <c r="M230" s="381">
        <f>IFERROR(IF(B230="Funkcna poziadavka",VLOOKUP(G230,MODULY_CBA!$B$3:$E$23,3,0),),)</f>
        <v>0</v>
      </c>
      <c r="N230" s="381">
        <f>IFERROR(IF(B230="funkcna poziadavka",VLOOKUP(G230,MODULY_CBA!$B$3:$E$23,2,0),),)</f>
        <v>0</v>
      </c>
      <c r="O230" s="380">
        <f t="shared" si="17"/>
        <v>0</v>
      </c>
      <c r="P230" s="379">
        <f>IFERROR(O230*VLOOKUP(G230,MODULY_CBA!$B$3:$F$23,5,0),)</f>
        <v>0</v>
      </c>
      <c r="Q230" s="471" t="str">
        <f>IFERROR(VLOOKUP(G230,MODULY_CBA!$B$3:$I$23,6,0),"")</f>
        <v/>
      </c>
      <c r="R230" s="383"/>
      <c r="S230" s="383"/>
      <c r="T230" s="383"/>
      <c r="U230" s="383"/>
      <c r="V230" s="383"/>
      <c r="W230" s="383"/>
      <c r="X230" s="383"/>
      <c r="Y230" s="383"/>
      <c r="Z230" s="383"/>
      <c r="AA230" s="383"/>
      <c r="AB230" s="383"/>
      <c r="AC230" s="383"/>
      <c r="AD230" s="383"/>
      <c r="AE230" s="383"/>
      <c r="AF230" s="377"/>
    </row>
    <row r="231" spans="1:32">
      <c r="A231" s="393"/>
      <c r="B231" s="393"/>
      <c r="C231" s="524"/>
      <c r="D231" s="524"/>
      <c r="E231" s="524"/>
      <c r="F231" s="384"/>
      <c r="G231" s="384"/>
      <c r="H231" s="639"/>
      <c r="I231" s="639"/>
      <c r="J231" s="381">
        <f t="shared" si="15"/>
        <v>0</v>
      </c>
      <c r="K231" s="381">
        <f t="shared" si="16"/>
        <v>0</v>
      </c>
      <c r="L231" s="634">
        <f>IFERROR(IF(B231="funkcna poziadavka",VLOOKUP(G231,MODULY_CBA!$B$3:$E$23,4,0)*H231/SUMIFS($H$3:$H$197,$G$3:$G$197,G231,$B$3:$B$197,B231),),)</f>
        <v>0</v>
      </c>
      <c r="M231" s="381">
        <f>IFERROR(IF(B231="Funkcna poziadavka",VLOOKUP(G231,MODULY_CBA!$B$3:$E$23,3,0),),)</f>
        <v>0</v>
      </c>
      <c r="N231" s="381">
        <f>IFERROR(IF(B231="funkcna poziadavka",VLOOKUP(G231,MODULY_CBA!$B$3:$E$23,2,0),),)</f>
        <v>0</v>
      </c>
      <c r="O231" s="380">
        <f t="shared" si="17"/>
        <v>0</v>
      </c>
      <c r="P231" s="379">
        <f>IFERROR(O231*VLOOKUP(G231,MODULY_CBA!$B$3:$F$23,5,0),)</f>
        <v>0</v>
      </c>
      <c r="Q231" s="471" t="str">
        <f>IFERROR(VLOOKUP(G231,MODULY_CBA!$B$3:$I$23,6,0),"")</f>
        <v/>
      </c>
      <c r="R231" s="383"/>
      <c r="S231" s="383"/>
      <c r="T231" s="383"/>
      <c r="U231" s="383"/>
      <c r="V231" s="383"/>
      <c r="W231" s="383"/>
      <c r="X231" s="383"/>
      <c r="Y231" s="383"/>
      <c r="Z231" s="383"/>
      <c r="AA231" s="383"/>
      <c r="AB231" s="383"/>
      <c r="AC231" s="383"/>
      <c r="AD231" s="383"/>
      <c r="AE231" s="383"/>
      <c r="AF231" s="377"/>
    </row>
    <row r="232" spans="1:32">
      <c r="A232" s="393"/>
      <c r="B232" s="393"/>
      <c r="C232" s="524"/>
      <c r="D232" s="524"/>
      <c r="E232" s="524"/>
      <c r="F232" s="384"/>
      <c r="G232" s="384"/>
      <c r="H232" s="639"/>
      <c r="I232" s="639"/>
      <c r="J232" s="381">
        <f t="shared" ref="J232:J295" si="18">IF(ISNUMBER(H232),H232,)</f>
        <v>0</v>
      </c>
      <c r="K232" s="381">
        <f t="shared" ref="K232:K295" si="19">H232*I232</f>
        <v>0</v>
      </c>
      <c r="L232" s="634">
        <f>IFERROR(IF(B232="funkcna poziadavka",VLOOKUP(G232,MODULY_CBA!$B$3:$E$23,4,0)*H232/SUMIFS($H$3:$H$197,$G$3:$G$197,G232,$B$3:$B$197,B232),),)</f>
        <v>0</v>
      </c>
      <c r="M232" s="381">
        <f>IFERROR(IF(B232="Funkcna poziadavka",VLOOKUP(G232,MODULY_CBA!$B$3:$E$23,3,0),),)</f>
        <v>0</v>
      </c>
      <c r="N232" s="381">
        <f>IFERROR(IF(B232="funkcna poziadavka",VLOOKUP(G232,MODULY_CBA!$B$3:$E$23,2,0),),)</f>
        <v>0</v>
      </c>
      <c r="O232" s="380">
        <f t="shared" ref="O232:O295" si="20">(K232+L232)*M232*N232</f>
        <v>0</v>
      </c>
      <c r="P232" s="379">
        <f>IFERROR(O232*VLOOKUP(G232,MODULY_CBA!$B$3:$F$23,5,0),)</f>
        <v>0</v>
      </c>
      <c r="Q232" s="471" t="str">
        <f>IFERROR(VLOOKUP(G232,MODULY_CBA!$B$3:$I$23,6,0),"")</f>
        <v/>
      </c>
      <c r="R232" s="383"/>
      <c r="S232" s="383"/>
      <c r="T232" s="383"/>
      <c r="U232" s="383"/>
      <c r="V232" s="383"/>
      <c r="W232" s="383"/>
      <c r="X232" s="383"/>
      <c r="Y232" s="383"/>
      <c r="Z232" s="383"/>
      <c r="AA232" s="383"/>
      <c r="AB232" s="383"/>
      <c r="AC232" s="383"/>
      <c r="AD232" s="383"/>
      <c r="AE232" s="383"/>
      <c r="AF232" s="377"/>
    </row>
    <row r="233" spans="1:32">
      <c r="A233" s="393"/>
      <c r="B233" s="393"/>
      <c r="C233" s="524"/>
      <c r="D233" s="524"/>
      <c r="E233" s="524"/>
      <c r="F233" s="384"/>
      <c r="G233" s="384"/>
      <c r="H233" s="639"/>
      <c r="I233" s="639"/>
      <c r="J233" s="381">
        <f t="shared" si="18"/>
        <v>0</v>
      </c>
      <c r="K233" s="381">
        <f t="shared" si="19"/>
        <v>0</v>
      </c>
      <c r="L233" s="634">
        <f>IFERROR(IF(B233="funkcna poziadavka",VLOOKUP(G233,MODULY_CBA!$B$3:$E$23,4,0)*H233/SUMIFS($H$3:$H$197,$G$3:$G$197,G233,$B$3:$B$197,B233),),)</f>
        <v>0</v>
      </c>
      <c r="M233" s="381">
        <f>IFERROR(IF(B233="Funkcna poziadavka",VLOOKUP(G233,MODULY_CBA!$B$3:$E$23,3,0),),)</f>
        <v>0</v>
      </c>
      <c r="N233" s="381">
        <f>IFERROR(IF(B233="funkcna poziadavka",VLOOKUP(G233,MODULY_CBA!$B$3:$E$23,2,0),),)</f>
        <v>0</v>
      </c>
      <c r="O233" s="380">
        <f t="shared" si="20"/>
        <v>0</v>
      </c>
      <c r="P233" s="379">
        <f>IFERROR(O233*VLOOKUP(G233,MODULY_CBA!$B$3:$F$23,5,0),)</f>
        <v>0</v>
      </c>
      <c r="Q233" s="471" t="str">
        <f>IFERROR(VLOOKUP(G233,MODULY_CBA!$B$3:$I$23,6,0),"")</f>
        <v/>
      </c>
      <c r="R233" s="383"/>
      <c r="S233" s="383"/>
      <c r="T233" s="383"/>
      <c r="U233" s="383"/>
      <c r="V233" s="383"/>
      <c r="W233" s="383"/>
      <c r="X233" s="383"/>
      <c r="Y233" s="383"/>
      <c r="Z233" s="383"/>
      <c r="AA233" s="383"/>
      <c r="AB233" s="383"/>
      <c r="AC233" s="383"/>
      <c r="AD233" s="383"/>
      <c r="AE233" s="383"/>
      <c r="AF233" s="377"/>
    </row>
    <row r="234" spans="1:32">
      <c r="A234" s="393"/>
      <c r="B234" s="393"/>
      <c r="C234" s="524"/>
      <c r="D234" s="524"/>
      <c r="E234" s="524"/>
      <c r="F234" s="384"/>
      <c r="G234" s="384"/>
      <c r="H234" s="639"/>
      <c r="I234" s="639"/>
      <c r="J234" s="381">
        <f t="shared" si="18"/>
        <v>0</v>
      </c>
      <c r="K234" s="381">
        <f t="shared" si="19"/>
        <v>0</v>
      </c>
      <c r="L234" s="634">
        <f>IFERROR(IF(B234="funkcna poziadavka",VLOOKUP(G234,MODULY_CBA!$B$3:$E$23,4,0)*H234/SUMIFS($H$3:$H$197,$G$3:$G$197,G234,$B$3:$B$197,B234),),)</f>
        <v>0</v>
      </c>
      <c r="M234" s="381">
        <f>IFERROR(IF(B234="Funkcna poziadavka",VLOOKUP(G234,MODULY_CBA!$B$3:$E$23,3,0),),)</f>
        <v>0</v>
      </c>
      <c r="N234" s="381">
        <f>IFERROR(IF(B234="funkcna poziadavka",VLOOKUP(G234,MODULY_CBA!$B$3:$E$23,2,0),),)</f>
        <v>0</v>
      </c>
      <c r="O234" s="380">
        <f t="shared" si="20"/>
        <v>0</v>
      </c>
      <c r="P234" s="379">
        <f>IFERROR(O234*VLOOKUP(G234,MODULY_CBA!$B$3:$F$23,5,0),)</f>
        <v>0</v>
      </c>
      <c r="Q234" s="471" t="str">
        <f>IFERROR(VLOOKUP(G234,MODULY_CBA!$B$3:$I$23,6,0),"")</f>
        <v/>
      </c>
      <c r="R234" s="383"/>
      <c r="S234" s="383"/>
      <c r="T234" s="383"/>
      <c r="U234" s="383"/>
      <c r="V234" s="383"/>
      <c r="W234" s="383"/>
      <c r="X234" s="383"/>
      <c r="Y234" s="383"/>
      <c r="Z234" s="383"/>
      <c r="AA234" s="383"/>
      <c r="AB234" s="383"/>
      <c r="AC234" s="383"/>
      <c r="AD234" s="383"/>
      <c r="AE234" s="383"/>
      <c r="AF234" s="377"/>
    </row>
    <row r="235" spans="1:32">
      <c r="A235" s="393"/>
      <c r="B235" s="393"/>
      <c r="C235" s="524"/>
      <c r="D235" s="524"/>
      <c r="E235" s="524"/>
      <c r="F235" s="384"/>
      <c r="G235" s="384"/>
      <c r="H235" s="639"/>
      <c r="I235" s="639"/>
      <c r="J235" s="381">
        <f t="shared" si="18"/>
        <v>0</v>
      </c>
      <c r="K235" s="381">
        <f t="shared" si="19"/>
        <v>0</v>
      </c>
      <c r="L235" s="634">
        <f>IFERROR(IF(B235="funkcna poziadavka",VLOOKUP(G235,MODULY_CBA!$B$3:$E$23,4,0)*H235/SUMIFS($H$3:$H$197,$G$3:$G$197,G235,$B$3:$B$197,B235),),)</f>
        <v>0</v>
      </c>
      <c r="M235" s="381">
        <f>IFERROR(IF(B235="Funkcna poziadavka",VLOOKUP(G235,MODULY_CBA!$B$3:$E$23,3,0),),)</f>
        <v>0</v>
      </c>
      <c r="N235" s="381">
        <f>IFERROR(IF(B235="funkcna poziadavka",VLOOKUP(G235,MODULY_CBA!$B$3:$E$23,2,0),),)</f>
        <v>0</v>
      </c>
      <c r="O235" s="380">
        <f t="shared" si="20"/>
        <v>0</v>
      </c>
      <c r="P235" s="379">
        <f>IFERROR(O235*VLOOKUP(G235,MODULY_CBA!$B$3:$F$23,5,0),)</f>
        <v>0</v>
      </c>
      <c r="Q235" s="471" t="str">
        <f>IFERROR(VLOOKUP(G235,MODULY_CBA!$B$3:$I$23,6,0),"")</f>
        <v/>
      </c>
      <c r="R235" s="383"/>
      <c r="S235" s="383"/>
      <c r="T235" s="383"/>
      <c r="U235" s="383"/>
      <c r="V235" s="383"/>
      <c r="W235" s="383"/>
      <c r="X235" s="383"/>
      <c r="Y235" s="383"/>
      <c r="Z235" s="383"/>
      <c r="AA235" s="383"/>
      <c r="AB235" s="383"/>
      <c r="AC235" s="383"/>
      <c r="AD235" s="383"/>
      <c r="AE235" s="383"/>
      <c r="AF235" s="377"/>
    </row>
    <row r="236" spans="1:32">
      <c r="A236" s="393"/>
      <c r="B236" s="393"/>
      <c r="C236" s="524"/>
      <c r="D236" s="524"/>
      <c r="E236" s="524"/>
      <c r="F236" s="384"/>
      <c r="G236" s="384"/>
      <c r="H236" s="639"/>
      <c r="I236" s="639"/>
      <c r="J236" s="381">
        <f t="shared" si="18"/>
        <v>0</v>
      </c>
      <c r="K236" s="381">
        <f t="shared" si="19"/>
        <v>0</v>
      </c>
      <c r="L236" s="634">
        <f>IFERROR(IF(B236="funkcna poziadavka",VLOOKUP(G236,MODULY_CBA!$B$3:$E$23,4,0)*H236/SUMIFS($H$3:$H$197,$G$3:$G$197,G236,$B$3:$B$197,B236),),)</f>
        <v>0</v>
      </c>
      <c r="M236" s="381">
        <f>IFERROR(IF(B236="Funkcna poziadavka",VLOOKUP(G236,MODULY_CBA!$B$3:$E$23,3,0),),)</f>
        <v>0</v>
      </c>
      <c r="N236" s="381">
        <f>IFERROR(IF(B236="funkcna poziadavka",VLOOKUP(G236,MODULY_CBA!$B$3:$E$23,2,0),),)</f>
        <v>0</v>
      </c>
      <c r="O236" s="380">
        <f t="shared" si="20"/>
        <v>0</v>
      </c>
      <c r="P236" s="379">
        <f>IFERROR(O236*VLOOKUP(G236,MODULY_CBA!$B$3:$F$23,5,0),)</f>
        <v>0</v>
      </c>
      <c r="Q236" s="471" t="str">
        <f>IFERROR(VLOOKUP(G236,MODULY_CBA!$B$3:$I$23,6,0),"")</f>
        <v/>
      </c>
      <c r="R236" s="383"/>
      <c r="S236" s="383"/>
      <c r="T236" s="383"/>
      <c r="U236" s="383"/>
      <c r="V236" s="383"/>
      <c r="W236" s="383"/>
      <c r="X236" s="383"/>
      <c r="Y236" s="383"/>
      <c r="Z236" s="383"/>
      <c r="AA236" s="383"/>
      <c r="AB236" s="383"/>
      <c r="AC236" s="383"/>
      <c r="AD236" s="383"/>
      <c r="AE236" s="383"/>
      <c r="AF236" s="377"/>
    </row>
    <row r="237" spans="1:32">
      <c r="A237" s="393"/>
      <c r="B237" s="393"/>
      <c r="C237" s="524"/>
      <c r="D237" s="524"/>
      <c r="E237" s="524"/>
      <c r="F237" s="384"/>
      <c r="G237" s="384"/>
      <c r="H237" s="639"/>
      <c r="I237" s="639"/>
      <c r="J237" s="381">
        <f t="shared" si="18"/>
        <v>0</v>
      </c>
      <c r="K237" s="381">
        <f t="shared" si="19"/>
        <v>0</v>
      </c>
      <c r="L237" s="634">
        <f>IFERROR(IF(B237="funkcna poziadavka",VLOOKUP(G237,MODULY_CBA!$B$3:$E$23,4,0)*H237/SUMIFS($H$3:$H$197,$G$3:$G$197,G237,$B$3:$B$197,B237),),)</f>
        <v>0</v>
      </c>
      <c r="M237" s="381">
        <f>IFERROR(IF(B237="Funkcna poziadavka",VLOOKUP(G237,MODULY_CBA!$B$3:$E$23,3,0),),)</f>
        <v>0</v>
      </c>
      <c r="N237" s="381">
        <f>IFERROR(IF(B237="funkcna poziadavka",VLOOKUP(G237,MODULY_CBA!$B$3:$E$23,2,0),),)</f>
        <v>0</v>
      </c>
      <c r="O237" s="380">
        <f t="shared" si="20"/>
        <v>0</v>
      </c>
      <c r="P237" s="379">
        <f>IFERROR(O237*VLOOKUP(G237,MODULY_CBA!$B$3:$F$23,5,0),)</f>
        <v>0</v>
      </c>
      <c r="Q237" s="471" t="str">
        <f>IFERROR(VLOOKUP(G237,MODULY_CBA!$B$3:$I$23,6,0),"")</f>
        <v/>
      </c>
      <c r="R237" s="383"/>
      <c r="S237" s="383"/>
      <c r="T237" s="383"/>
      <c r="U237" s="383"/>
      <c r="V237" s="383"/>
      <c r="W237" s="383"/>
      <c r="X237" s="383"/>
      <c r="Y237" s="383"/>
      <c r="Z237" s="383"/>
      <c r="AA237" s="383"/>
      <c r="AB237" s="383"/>
      <c r="AC237" s="383"/>
      <c r="AD237" s="383"/>
      <c r="AE237" s="383"/>
      <c r="AF237" s="377"/>
    </row>
    <row r="238" spans="1:32">
      <c r="A238" s="393"/>
      <c r="B238" s="393"/>
      <c r="C238" s="524"/>
      <c r="D238" s="524"/>
      <c r="E238" s="524"/>
      <c r="F238" s="384"/>
      <c r="G238" s="384"/>
      <c r="H238" s="639"/>
      <c r="I238" s="639"/>
      <c r="J238" s="381">
        <f t="shared" si="18"/>
        <v>0</v>
      </c>
      <c r="K238" s="381">
        <f t="shared" si="19"/>
        <v>0</v>
      </c>
      <c r="L238" s="634">
        <f>IFERROR(IF(B238="funkcna poziadavka",VLOOKUP(G238,MODULY_CBA!$B$3:$E$23,4,0)*H238/SUMIFS($H$3:$H$197,$G$3:$G$197,G238,$B$3:$B$197,B238),),)</f>
        <v>0</v>
      </c>
      <c r="M238" s="381">
        <f>IFERROR(IF(B238="Funkcna poziadavka",VLOOKUP(G238,MODULY_CBA!$B$3:$E$23,3,0),),)</f>
        <v>0</v>
      </c>
      <c r="N238" s="381">
        <f>IFERROR(IF(B238="funkcna poziadavka",VLOOKUP(G238,MODULY_CBA!$B$3:$E$23,2,0),),)</f>
        <v>0</v>
      </c>
      <c r="O238" s="380">
        <f t="shared" si="20"/>
        <v>0</v>
      </c>
      <c r="P238" s="379">
        <f>IFERROR(O238*VLOOKUP(G238,MODULY_CBA!$B$3:$F$23,5,0),)</f>
        <v>0</v>
      </c>
      <c r="Q238" s="471" t="str">
        <f>IFERROR(VLOOKUP(G238,MODULY_CBA!$B$3:$I$23,6,0),"")</f>
        <v/>
      </c>
      <c r="R238" s="383"/>
      <c r="S238" s="383"/>
      <c r="T238" s="383"/>
      <c r="U238" s="383"/>
      <c r="V238" s="383"/>
      <c r="W238" s="383"/>
      <c r="X238" s="383"/>
      <c r="Y238" s="383"/>
      <c r="Z238" s="383"/>
      <c r="AA238" s="383"/>
      <c r="AB238" s="383"/>
      <c r="AC238" s="383"/>
      <c r="AD238" s="383"/>
      <c r="AE238" s="383"/>
      <c r="AF238" s="377"/>
    </row>
    <row r="239" spans="1:32">
      <c r="A239" s="393"/>
      <c r="B239" s="393"/>
      <c r="C239" s="524"/>
      <c r="D239" s="524"/>
      <c r="E239" s="524"/>
      <c r="F239" s="384"/>
      <c r="G239" s="384"/>
      <c r="H239" s="639"/>
      <c r="I239" s="639"/>
      <c r="J239" s="381">
        <f t="shared" si="18"/>
        <v>0</v>
      </c>
      <c r="K239" s="381">
        <f t="shared" si="19"/>
        <v>0</v>
      </c>
      <c r="L239" s="634">
        <f>IFERROR(IF(B239="funkcna poziadavka",VLOOKUP(G239,MODULY_CBA!$B$3:$E$23,4,0)*H239/SUMIFS($H$3:$H$197,$G$3:$G$197,G239,$B$3:$B$197,B239),),)</f>
        <v>0</v>
      </c>
      <c r="M239" s="381">
        <f>IFERROR(IF(B239="Funkcna poziadavka",VLOOKUP(G239,MODULY_CBA!$B$3:$E$23,3,0),),)</f>
        <v>0</v>
      </c>
      <c r="N239" s="381">
        <f>IFERROR(IF(B239="funkcna poziadavka",VLOOKUP(G239,MODULY_CBA!$B$3:$E$23,2,0),),)</f>
        <v>0</v>
      </c>
      <c r="O239" s="380">
        <f t="shared" si="20"/>
        <v>0</v>
      </c>
      <c r="P239" s="379">
        <f>IFERROR(O239*VLOOKUP(G239,MODULY_CBA!$B$3:$F$23,5,0),)</f>
        <v>0</v>
      </c>
      <c r="Q239" s="471" t="str">
        <f>IFERROR(VLOOKUP(G239,MODULY_CBA!$B$3:$I$23,6,0),"")</f>
        <v/>
      </c>
      <c r="R239" s="383"/>
      <c r="S239" s="383"/>
      <c r="T239" s="383"/>
      <c r="U239" s="383"/>
      <c r="V239" s="383"/>
      <c r="W239" s="383"/>
      <c r="X239" s="383"/>
      <c r="Y239" s="383"/>
      <c r="Z239" s="383"/>
      <c r="AA239" s="383"/>
      <c r="AB239" s="383"/>
      <c r="AC239" s="383"/>
      <c r="AD239" s="383"/>
      <c r="AE239" s="383"/>
      <c r="AF239" s="377"/>
    </row>
    <row r="240" spans="1:32">
      <c r="A240" s="393"/>
      <c r="B240" s="393"/>
      <c r="C240" s="524"/>
      <c r="D240" s="524"/>
      <c r="E240" s="524"/>
      <c r="F240" s="384"/>
      <c r="G240" s="384"/>
      <c r="H240" s="639"/>
      <c r="I240" s="639"/>
      <c r="J240" s="381">
        <f t="shared" si="18"/>
        <v>0</v>
      </c>
      <c r="K240" s="381">
        <f t="shared" si="19"/>
        <v>0</v>
      </c>
      <c r="L240" s="634">
        <f>IFERROR(IF(B240="funkcna poziadavka",VLOOKUP(G240,MODULY_CBA!$B$3:$E$23,4,0)*H240/SUMIFS($H$3:$H$197,$G$3:$G$197,G240,$B$3:$B$197,B240),),)</f>
        <v>0</v>
      </c>
      <c r="M240" s="381">
        <f>IFERROR(IF(B240="Funkcna poziadavka",VLOOKUP(G240,MODULY_CBA!$B$3:$E$23,3,0),),)</f>
        <v>0</v>
      </c>
      <c r="N240" s="381">
        <f>IFERROR(IF(B240="funkcna poziadavka",VLOOKUP(G240,MODULY_CBA!$B$3:$E$23,2,0),),)</f>
        <v>0</v>
      </c>
      <c r="O240" s="380">
        <f t="shared" si="20"/>
        <v>0</v>
      </c>
      <c r="P240" s="379">
        <f>IFERROR(O240*VLOOKUP(G240,MODULY_CBA!$B$3:$F$23,5,0),)</f>
        <v>0</v>
      </c>
      <c r="Q240" s="471" t="str">
        <f>IFERROR(VLOOKUP(G240,MODULY_CBA!$B$3:$I$23,6,0),"")</f>
        <v/>
      </c>
      <c r="R240" s="383"/>
      <c r="S240" s="383"/>
      <c r="T240" s="383"/>
      <c r="U240" s="383"/>
      <c r="V240" s="383"/>
      <c r="W240" s="383"/>
      <c r="X240" s="383"/>
      <c r="Y240" s="383"/>
      <c r="Z240" s="383"/>
      <c r="AA240" s="383"/>
      <c r="AB240" s="383"/>
      <c r="AC240" s="383"/>
      <c r="AD240" s="383"/>
      <c r="AE240" s="383"/>
      <c r="AF240" s="377"/>
    </row>
    <row r="241" spans="1:32">
      <c r="A241" s="393"/>
      <c r="B241" s="393"/>
      <c r="C241" s="524"/>
      <c r="D241" s="524"/>
      <c r="E241" s="524"/>
      <c r="F241" s="384"/>
      <c r="G241" s="384"/>
      <c r="H241" s="639"/>
      <c r="I241" s="639"/>
      <c r="J241" s="381">
        <f t="shared" si="18"/>
        <v>0</v>
      </c>
      <c r="K241" s="381">
        <f t="shared" si="19"/>
        <v>0</v>
      </c>
      <c r="L241" s="634">
        <f>IFERROR(IF(B241="funkcna poziadavka",VLOOKUP(G241,MODULY_CBA!$B$3:$E$23,4,0)*H241/SUMIFS($H$3:$H$197,$G$3:$G$197,G241,$B$3:$B$197,B241),),)</f>
        <v>0</v>
      </c>
      <c r="M241" s="381">
        <f>IFERROR(IF(B241="Funkcna poziadavka",VLOOKUP(G241,MODULY_CBA!$B$3:$E$23,3,0),),)</f>
        <v>0</v>
      </c>
      <c r="N241" s="381">
        <f>IFERROR(IF(B241="funkcna poziadavka",VLOOKUP(G241,MODULY_CBA!$B$3:$E$23,2,0),),)</f>
        <v>0</v>
      </c>
      <c r="O241" s="380">
        <f t="shared" si="20"/>
        <v>0</v>
      </c>
      <c r="P241" s="379">
        <f>IFERROR(O241*VLOOKUP(G241,MODULY_CBA!$B$3:$F$23,5,0),)</f>
        <v>0</v>
      </c>
      <c r="Q241" s="471" t="str">
        <f>IFERROR(VLOOKUP(G241,MODULY_CBA!$B$3:$I$23,6,0),"")</f>
        <v/>
      </c>
      <c r="R241" s="383"/>
      <c r="S241" s="383"/>
      <c r="T241" s="383"/>
      <c r="U241" s="383"/>
      <c r="V241" s="383"/>
      <c r="W241" s="383"/>
      <c r="X241" s="383"/>
      <c r="Y241" s="383"/>
      <c r="Z241" s="383"/>
      <c r="AA241" s="383"/>
      <c r="AB241" s="383"/>
      <c r="AC241" s="383"/>
      <c r="AD241" s="383"/>
      <c r="AE241" s="383"/>
      <c r="AF241" s="377"/>
    </row>
    <row r="242" spans="1:32">
      <c r="A242" s="393"/>
      <c r="B242" s="393"/>
      <c r="C242" s="524"/>
      <c r="D242" s="524"/>
      <c r="E242" s="524"/>
      <c r="F242" s="384"/>
      <c r="G242" s="384"/>
      <c r="H242" s="639"/>
      <c r="I242" s="639"/>
      <c r="J242" s="381">
        <f t="shared" si="18"/>
        <v>0</v>
      </c>
      <c r="K242" s="381">
        <f t="shared" si="19"/>
        <v>0</v>
      </c>
      <c r="L242" s="634">
        <f>IFERROR(IF(B242="funkcna poziadavka",VLOOKUP(G242,MODULY_CBA!$B$3:$E$23,4,0)*H242/SUMIFS($H$3:$H$197,$G$3:$G$197,G242,$B$3:$B$197,B242),),)</f>
        <v>0</v>
      </c>
      <c r="M242" s="381">
        <f>IFERROR(IF(B242="Funkcna poziadavka",VLOOKUP(G242,MODULY_CBA!$B$3:$E$23,3,0),),)</f>
        <v>0</v>
      </c>
      <c r="N242" s="381">
        <f>IFERROR(IF(B242="funkcna poziadavka",VLOOKUP(G242,MODULY_CBA!$B$3:$E$23,2,0),),)</f>
        <v>0</v>
      </c>
      <c r="O242" s="380">
        <f t="shared" si="20"/>
        <v>0</v>
      </c>
      <c r="P242" s="379">
        <f>IFERROR(O242*VLOOKUP(G242,MODULY_CBA!$B$3:$F$23,5,0),)</f>
        <v>0</v>
      </c>
      <c r="Q242" s="471" t="str">
        <f>IFERROR(VLOOKUP(G242,MODULY_CBA!$B$3:$I$23,6,0),"")</f>
        <v/>
      </c>
      <c r="R242" s="383"/>
      <c r="S242" s="383"/>
      <c r="T242" s="383"/>
      <c r="U242" s="383"/>
      <c r="V242" s="383"/>
      <c r="W242" s="383"/>
      <c r="X242" s="383"/>
      <c r="Y242" s="383"/>
      <c r="Z242" s="383"/>
      <c r="AA242" s="383"/>
      <c r="AB242" s="383"/>
      <c r="AC242" s="383"/>
      <c r="AD242" s="383"/>
      <c r="AE242" s="383"/>
      <c r="AF242" s="377"/>
    </row>
    <row r="243" spans="1:32">
      <c r="A243" s="393"/>
      <c r="B243" s="393"/>
      <c r="C243" s="524"/>
      <c r="D243" s="524"/>
      <c r="E243" s="524"/>
      <c r="F243" s="384"/>
      <c r="G243" s="384"/>
      <c r="H243" s="639"/>
      <c r="I243" s="639"/>
      <c r="J243" s="381">
        <f t="shared" si="18"/>
        <v>0</v>
      </c>
      <c r="K243" s="381">
        <f t="shared" si="19"/>
        <v>0</v>
      </c>
      <c r="L243" s="634">
        <f>IFERROR(IF(B243="funkcna poziadavka",VLOOKUP(G243,MODULY_CBA!$B$3:$E$23,4,0)*H243/SUMIFS($H$3:$H$197,$G$3:$G$197,G243,$B$3:$B$197,B243),),)</f>
        <v>0</v>
      </c>
      <c r="M243" s="381">
        <f>IFERROR(IF(B243="Funkcna poziadavka",VLOOKUP(G243,MODULY_CBA!$B$3:$E$23,3,0),),)</f>
        <v>0</v>
      </c>
      <c r="N243" s="381">
        <f>IFERROR(IF(B243="funkcna poziadavka",VLOOKUP(G243,MODULY_CBA!$B$3:$E$23,2,0),),)</f>
        <v>0</v>
      </c>
      <c r="O243" s="380">
        <f t="shared" si="20"/>
        <v>0</v>
      </c>
      <c r="P243" s="379">
        <f>IFERROR(O243*VLOOKUP(G243,MODULY_CBA!$B$3:$F$23,5,0),)</f>
        <v>0</v>
      </c>
      <c r="Q243" s="471" t="str">
        <f>IFERROR(VLOOKUP(G243,MODULY_CBA!$B$3:$I$23,6,0),"")</f>
        <v/>
      </c>
      <c r="R243" s="383"/>
      <c r="S243" s="383"/>
      <c r="T243" s="383"/>
      <c r="U243" s="383"/>
      <c r="V243" s="383"/>
      <c r="W243" s="383"/>
      <c r="X243" s="383"/>
      <c r="Y243" s="383"/>
      <c r="Z243" s="383"/>
      <c r="AA243" s="383"/>
      <c r="AB243" s="383"/>
      <c r="AC243" s="383"/>
      <c r="AD243" s="383"/>
      <c r="AE243" s="383"/>
      <c r="AF243" s="377"/>
    </row>
    <row r="244" spans="1:32">
      <c r="A244" s="393"/>
      <c r="B244" s="393"/>
      <c r="C244" s="524"/>
      <c r="D244" s="524"/>
      <c r="E244" s="524"/>
      <c r="F244" s="384"/>
      <c r="G244" s="384"/>
      <c r="H244" s="639"/>
      <c r="I244" s="639"/>
      <c r="J244" s="381">
        <f t="shared" si="18"/>
        <v>0</v>
      </c>
      <c r="K244" s="381">
        <f t="shared" si="19"/>
        <v>0</v>
      </c>
      <c r="L244" s="634">
        <f>IFERROR(IF(B244="funkcna poziadavka",VLOOKUP(G244,MODULY_CBA!$B$3:$E$23,4,0)*H244/SUMIFS($H$3:$H$197,$G$3:$G$197,G244,$B$3:$B$197,B244),),)</f>
        <v>0</v>
      </c>
      <c r="M244" s="381">
        <f>IFERROR(IF(B244="Funkcna poziadavka",VLOOKUP(G244,MODULY_CBA!$B$3:$E$23,3,0),),)</f>
        <v>0</v>
      </c>
      <c r="N244" s="381">
        <f>IFERROR(IF(B244="funkcna poziadavka",VLOOKUP(G244,MODULY_CBA!$B$3:$E$23,2,0),),)</f>
        <v>0</v>
      </c>
      <c r="O244" s="380">
        <f t="shared" si="20"/>
        <v>0</v>
      </c>
      <c r="P244" s="379">
        <f>IFERROR(O244*VLOOKUP(G244,MODULY_CBA!$B$3:$F$23,5,0),)</f>
        <v>0</v>
      </c>
      <c r="Q244" s="471" t="str">
        <f>IFERROR(VLOOKUP(G244,MODULY_CBA!$B$3:$I$23,6,0),"")</f>
        <v/>
      </c>
      <c r="R244" s="383"/>
      <c r="S244" s="383"/>
      <c r="T244" s="383"/>
      <c r="U244" s="383"/>
      <c r="V244" s="383"/>
      <c r="W244" s="383"/>
      <c r="X244" s="383"/>
      <c r="Y244" s="383"/>
      <c r="Z244" s="383"/>
      <c r="AA244" s="383"/>
      <c r="AB244" s="383"/>
      <c r="AC244" s="383"/>
      <c r="AD244" s="383"/>
      <c r="AE244" s="383"/>
      <c r="AF244" s="377"/>
    </row>
    <row r="245" spans="1:32">
      <c r="A245" s="393"/>
      <c r="B245" s="393"/>
      <c r="C245" s="524"/>
      <c r="D245" s="524"/>
      <c r="E245" s="524"/>
      <c r="F245" s="384"/>
      <c r="G245" s="384"/>
      <c r="H245" s="639"/>
      <c r="I245" s="639"/>
      <c r="J245" s="381">
        <f t="shared" si="18"/>
        <v>0</v>
      </c>
      <c r="K245" s="381">
        <f t="shared" si="19"/>
        <v>0</v>
      </c>
      <c r="L245" s="634">
        <f>IFERROR(IF(B245="funkcna poziadavka",VLOOKUP(G245,MODULY_CBA!$B$3:$E$23,4,0)*H245/SUMIFS($H$3:$H$197,$G$3:$G$197,G245,$B$3:$B$197,B245),),)</f>
        <v>0</v>
      </c>
      <c r="M245" s="381">
        <f>IFERROR(IF(B245="Funkcna poziadavka",VLOOKUP(G245,MODULY_CBA!$B$3:$E$23,3,0),),)</f>
        <v>0</v>
      </c>
      <c r="N245" s="381">
        <f>IFERROR(IF(B245="funkcna poziadavka",VLOOKUP(G245,MODULY_CBA!$B$3:$E$23,2,0),),)</f>
        <v>0</v>
      </c>
      <c r="O245" s="380">
        <f t="shared" si="20"/>
        <v>0</v>
      </c>
      <c r="P245" s="379">
        <f>IFERROR(O245*VLOOKUP(G245,MODULY_CBA!$B$3:$F$23,5,0),)</f>
        <v>0</v>
      </c>
      <c r="Q245" s="471" t="str">
        <f>IFERROR(VLOOKUP(G245,MODULY_CBA!$B$3:$I$23,6,0),"")</f>
        <v/>
      </c>
      <c r="R245" s="383"/>
      <c r="S245" s="383"/>
      <c r="T245" s="383"/>
      <c r="U245" s="383"/>
      <c r="V245" s="383"/>
      <c r="W245" s="383"/>
      <c r="X245" s="383"/>
      <c r="Y245" s="383"/>
      <c r="Z245" s="383"/>
      <c r="AA245" s="383"/>
      <c r="AB245" s="383"/>
      <c r="AC245" s="383"/>
      <c r="AD245" s="383"/>
      <c r="AE245" s="383"/>
      <c r="AF245" s="377"/>
    </row>
    <row r="246" spans="1:32">
      <c r="A246" s="393"/>
      <c r="B246" s="393"/>
      <c r="C246" s="524"/>
      <c r="D246" s="524"/>
      <c r="E246" s="524"/>
      <c r="F246" s="384"/>
      <c r="G246" s="384"/>
      <c r="H246" s="639"/>
      <c r="I246" s="639"/>
      <c r="J246" s="381">
        <f t="shared" si="18"/>
        <v>0</v>
      </c>
      <c r="K246" s="381">
        <f t="shared" si="19"/>
        <v>0</v>
      </c>
      <c r="L246" s="634">
        <f>IFERROR(IF(B246="funkcna poziadavka",VLOOKUP(G246,MODULY_CBA!$B$3:$E$23,4,0)*H246/SUMIFS($H$3:$H$197,$G$3:$G$197,G246,$B$3:$B$197,B246),),)</f>
        <v>0</v>
      </c>
      <c r="M246" s="381">
        <f>IFERROR(IF(B246="Funkcna poziadavka",VLOOKUP(G246,MODULY_CBA!$B$3:$E$23,3,0),),)</f>
        <v>0</v>
      </c>
      <c r="N246" s="381">
        <f>IFERROR(IF(B246="funkcna poziadavka",VLOOKUP(G246,MODULY_CBA!$B$3:$E$23,2,0),),)</f>
        <v>0</v>
      </c>
      <c r="O246" s="380">
        <f t="shared" si="20"/>
        <v>0</v>
      </c>
      <c r="P246" s="379">
        <f>IFERROR(O246*VLOOKUP(G246,MODULY_CBA!$B$3:$F$23,5,0),)</f>
        <v>0</v>
      </c>
      <c r="Q246" s="471" t="str">
        <f>IFERROR(VLOOKUP(G246,MODULY_CBA!$B$3:$I$23,6,0),"")</f>
        <v/>
      </c>
      <c r="R246" s="383"/>
      <c r="S246" s="383"/>
      <c r="T246" s="383"/>
      <c r="U246" s="383"/>
      <c r="V246" s="383"/>
      <c r="W246" s="383"/>
      <c r="X246" s="383"/>
      <c r="Y246" s="383"/>
      <c r="Z246" s="383"/>
      <c r="AA246" s="383"/>
      <c r="AB246" s="383"/>
      <c r="AC246" s="383"/>
      <c r="AD246" s="383"/>
      <c r="AE246" s="383"/>
      <c r="AF246" s="377"/>
    </row>
    <row r="247" spans="1:32">
      <c r="A247" s="393"/>
      <c r="B247" s="393"/>
      <c r="C247" s="524"/>
      <c r="D247" s="524"/>
      <c r="E247" s="524"/>
      <c r="F247" s="384"/>
      <c r="G247" s="384"/>
      <c r="H247" s="639"/>
      <c r="I247" s="639"/>
      <c r="J247" s="381">
        <f t="shared" si="18"/>
        <v>0</v>
      </c>
      <c r="K247" s="381">
        <f t="shared" si="19"/>
        <v>0</v>
      </c>
      <c r="L247" s="634">
        <f>IFERROR(IF(B247="funkcna poziadavka",VLOOKUP(G247,MODULY_CBA!$B$3:$E$23,4,0)*H247/SUMIFS($H$3:$H$197,$G$3:$G$197,G247,$B$3:$B$197,B247),),)</f>
        <v>0</v>
      </c>
      <c r="M247" s="381">
        <f>IFERROR(IF(B247="Funkcna poziadavka",VLOOKUP(G247,MODULY_CBA!$B$3:$E$23,3,0),),)</f>
        <v>0</v>
      </c>
      <c r="N247" s="381">
        <f>IFERROR(IF(B247="funkcna poziadavka",VLOOKUP(G247,MODULY_CBA!$B$3:$E$23,2,0),),)</f>
        <v>0</v>
      </c>
      <c r="O247" s="380">
        <f t="shared" si="20"/>
        <v>0</v>
      </c>
      <c r="P247" s="379">
        <f>IFERROR(O247*VLOOKUP(G247,MODULY_CBA!$B$3:$F$23,5,0),)</f>
        <v>0</v>
      </c>
      <c r="Q247" s="471" t="str">
        <f>IFERROR(VLOOKUP(G247,MODULY_CBA!$B$3:$I$23,6,0),"")</f>
        <v/>
      </c>
      <c r="R247" s="383"/>
      <c r="S247" s="383"/>
      <c r="T247" s="383"/>
      <c r="U247" s="383"/>
      <c r="V247" s="383"/>
      <c r="W247" s="383"/>
      <c r="X247" s="383"/>
      <c r="Y247" s="383"/>
      <c r="Z247" s="383"/>
      <c r="AA247" s="383"/>
      <c r="AB247" s="383"/>
      <c r="AC247" s="383"/>
      <c r="AD247" s="383"/>
      <c r="AE247" s="383"/>
      <c r="AF247" s="377"/>
    </row>
    <row r="248" spans="1:32">
      <c r="A248" s="393"/>
      <c r="B248" s="393"/>
      <c r="C248" s="524"/>
      <c r="D248" s="524"/>
      <c r="E248" s="524"/>
      <c r="F248" s="384"/>
      <c r="G248" s="384"/>
      <c r="H248" s="639"/>
      <c r="I248" s="639"/>
      <c r="J248" s="381">
        <f t="shared" si="18"/>
        <v>0</v>
      </c>
      <c r="K248" s="381">
        <f t="shared" si="19"/>
        <v>0</v>
      </c>
      <c r="L248" s="634">
        <f>IFERROR(IF(B248="funkcna poziadavka",VLOOKUP(G248,MODULY_CBA!$B$3:$E$23,4,0)*H248/SUMIFS($H$3:$H$197,$G$3:$G$197,G248,$B$3:$B$197,B248),),)</f>
        <v>0</v>
      </c>
      <c r="M248" s="381">
        <f>IFERROR(IF(B248="Funkcna poziadavka",VLOOKUP(G248,MODULY_CBA!$B$3:$E$23,3,0),),)</f>
        <v>0</v>
      </c>
      <c r="N248" s="381">
        <f>IFERROR(IF(B248="funkcna poziadavka",VLOOKUP(G248,MODULY_CBA!$B$3:$E$23,2,0),),)</f>
        <v>0</v>
      </c>
      <c r="O248" s="380">
        <f t="shared" si="20"/>
        <v>0</v>
      </c>
      <c r="P248" s="379">
        <f>IFERROR(O248*VLOOKUP(G248,MODULY_CBA!$B$3:$F$23,5,0),)</f>
        <v>0</v>
      </c>
      <c r="Q248" s="471" t="str">
        <f>IFERROR(VLOOKUP(G248,MODULY_CBA!$B$3:$I$23,6,0),"")</f>
        <v/>
      </c>
      <c r="R248" s="383"/>
      <c r="S248" s="383"/>
      <c r="T248" s="383"/>
      <c r="U248" s="383"/>
      <c r="V248" s="383"/>
      <c r="W248" s="383"/>
      <c r="X248" s="383"/>
      <c r="Y248" s="383"/>
      <c r="Z248" s="383"/>
      <c r="AA248" s="383"/>
      <c r="AB248" s="383"/>
      <c r="AC248" s="383"/>
      <c r="AD248" s="383"/>
      <c r="AE248" s="383"/>
      <c r="AF248" s="377"/>
    </row>
    <row r="249" spans="1:32">
      <c r="A249" s="393"/>
      <c r="B249" s="393"/>
      <c r="C249" s="524"/>
      <c r="D249" s="524"/>
      <c r="E249" s="524"/>
      <c r="F249" s="384"/>
      <c r="G249" s="384"/>
      <c r="H249" s="639"/>
      <c r="I249" s="639"/>
      <c r="J249" s="381">
        <f t="shared" si="18"/>
        <v>0</v>
      </c>
      <c r="K249" s="381">
        <f t="shared" si="19"/>
        <v>0</v>
      </c>
      <c r="L249" s="634">
        <f>IFERROR(IF(B249="funkcna poziadavka",VLOOKUP(G249,MODULY_CBA!$B$3:$E$23,4,0)*H249/SUMIFS($H$3:$H$197,$G$3:$G$197,G249,$B$3:$B$197,B249),),)</f>
        <v>0</v>
      </c>
      <c r="M249" s="381">
        <f>IFERROR(IF(B249="Funkcna poziadavka",VLOOKUP(G249,MODULY_CBA!$B$3:$E$23,3,0),),)</f>
        <v>0</v>
      </c>
      <c r="N249" s="381">
        <f>IFERROR(IF(B249="funkcna poziadavka",VLOOKUP(G249,MODULY_CBA!$B$3:$E$23,2,0),),)</f>
        <v>0</v>
      </c>
      <c r="O249" s="380">
        <f t="shared" si="20"/>
        <v>0</v>
      </c>
      <c r="P249" s="379">
        <f>IFERROR(O249*VLOOKUP(G249,MODULY_CBA!$B$3:$F$23,5,0),)</f>
        <v>0</v>
      </c>
      <c r="Q249" s="471" t="str">
        <f>IFERROR(VLOOKUP(G249,MODULY_CBA!$B$3:$I$23,6,0),"")</f>
        <v/>
      </c>
      <c r="R249" s="383"/>
      <c r="S249" s="383"/>
      <c r="T249" s="383"/>
      <c r="U249" s="383"/>
      <c r="V249" s="383"/>
      <c r="W249" s="383"/>
      <c r="X249" s="383"/>
      <c r="Y249" s="383"/>
      <c r="Z249" s="383"/>
      <c r="AA249" s="383"/>
      <c r="AB249" s="383"/>
      <c r="AC249" s="383"/>
      <c r="AD249" s="383"/>
      <c r="AE249" s="383"/>
      <c r="AF249" s="377"/>
    </row>
    <row r="250" spans="1:32">
      <c r="A250" s="393"/>
      <c r="B250" s="393"/>
      <c r="C250" s="524"/>
      <c r="D250" s="524"/>
      <c r="E250" s="524"/>
      <c r="F250" s="384"/>
      <c r="G250" s="384"/>
      <c r="H250" s="639"/>
      <c r="I250" s="639"/>
      <c r="J250" s="381">
        <f t="shared" si="18"/>
        <v>0</v>
      </c>
      <c r="K250" s="381">
        <f t="shared" si="19"/>
        <v>0</v>
      </c>
      <c r="L250" s="634">
        <f>IFERROR(IF(B250="funkcna poziadavka",VLOOKUP(G250,MODULY_CBA!$B$3:$E$23,4,0)*H250/SUMIFS($H$3:$H$197,$G$3:$G$197,G250,$B$3:$B$197,B250),),)</f>
        <v>0</v>
      </c>
      <c r="M250" s="381">
        <f>IFERROR(IF(B250="Funkcna poziadavka",VLOOKUP(G250,MODULY_CBA!$B$3:$E$23,3,0),),)</f>
        <v>0</v>
      </c>
      <c r="N250" s="381">
        <f>IFERROR(IF(B250="funkcna poziadavka",VLOOKUP(G250,MODULY_CBA!$B$3:$E$23,2,0),),)</f>
        <v>0</v>
      </c>
      <c r="O250" s="380">
        <f t="shared" si="20"/>
        <v>0</v>
      </c>
      <c r="P250" s="379">
        <f>IFERROR(O250*VLOOKUP(G250,MODULY_CBA!$B$3:$F$23,5,0),)</f>
        <v>0</v>
      </c>
      <c r="Q250" s="471" t="str">
        <f>IFERROR(VLOOKUP(G250,MODULY_CBA!$B$3:$I$23,6,0),"")</f>
        <v/>
      </c>
      <c r="R250" s="383"/>
      <c r="S250" s="383"/>
      <c r="T250" s="383"/>
      <c r="U250" s="383"/>
      <c r="V250" s="383"/>
      <c r="W250" s="383"/>
      <c r="X250" s="383"/>
      <c r="Y250" s="383"/>
      <c r="Z250" s="383"/>
      <c r="AA250" s="383"/>
      <c r="AB250" s="383"/>
      <c r="AC250" s="383"/>
      <c r="AD250" s="383"/>
      <c r="AE250" s="383"/>
      <c r="AF250" s="377"/>
    </row>
    <row r="251" spans="1:32">
      <c r="A251" s="393"/>
      <c r="B251" s="393"/>
      <c r="C251" s="524"/>
      <c r="D251" s="524"/>
      <c r="E251" s="524"/>
      <c r="F251" s="384"/>
      <c r="G251" s="384"/>
      <c r="H251" s="639"/>
      <c r="I251" s="639"/>
      <c r="J251" s="381">
        <f t="shared" si="18"/>
        <v>0</v>
      </c>
      <c r="K251" s="381">
        <f t="shared" si="19"/>
        <v>0</v>
      </c>
      <c r="L251" s="634">
        <f>IFERROR(IF(B251="funkcna poziadavka",VLOOKUP(G251,MODULY_CBA!$B$3:$E$23,4,0)*H251/SUMIFS($H$3:$H$197,$G$3:$G$197,G251,$B$3:$B$197,B251),),)</f>
        <v>0</v>
      </c>
      <c r="M251" s="381">
        <f>IFERROR(IF(B251="Funkcna poziadavka",VLOOKUP(G251,MODULY_CBA!$B$3:$E$23,3,0),),)</f>
        <v>0</v>
      </c>
      <c r="N251" s="381">
        <f>IFERROR(IF(B251="funkcna poziadavka",VLOOKUP(G251,MODULY_CBA!$B$3:$E$23,2,0),),)</f>
        <v>0</v>
      </c>
      <c r="O251" s="380">
        <f t="shared" si="20"/>
        <v>0</v>
      </c>
      <c r="P251" s="379">
        <f>IFERROR(O251*VLOOKUP(G251,MODULY_CBA!$B$3:$F$23,5,0),)</f>
        <v>0</v>
      </c>
      <c r="Q251" s="471" t="str">
        <f>IFERROR(VLOOKUP(G251,MODULY_CBA!$B$3:$I$23,6,0),"")</f>
        <v/>
      </c>
      <c r="R251" s="383"/>
      <c r="S251" s="383"/>
      <c r="T251" s="383"/>
      <c r="U251" s="383"/>
      <c r="V251" s="383"/>
      <c r="W251" s="383"/>
      <c r="X251" s="383"/>
      <c r="Y251" s="383"/>
      <c r="Z251" s="383"/>
      <c r="AA251" s="383"/>
      <c r="AB251" s="383"/>
      <c r="AC251" s="383"/>
      <c r="AD251" s="383"/>
      <c r="AE251" s="383"/>
      <c r="AF251" s="377"/>
    </row>
    <row r="252" spans="1:32">
      <c r="A252" s="393"/>
      <c r="B252" s="393"/>
      <c r="C252" s="524"/>
      <c r="D252" s="524"/>
      <c r="E252" s="524"/>
      <c r="F252" s="384"/>
      <c r="G252" s="384"/>
      <c r="H252" s="639"/>
      <c r="I252" s="639"/>
      <c r="J252" s="381">
        <f t="shared" si="18"/>
        <v>0</v>
      </c>
      <c r="K252" s="381">
        <f t="shared" si="19"/>
        <v>0</v>
      </c>
      <c r="L252" s="634">
        <f>IFERROR(IF(B252="funkcna poziadavka",VLOOKUP(G252,MODULY_CBA!$B$3:$E$23,4,0)*H252/SUMIFS($H$3:$H$197,$G$3:$G$197,G252,$B$3:$B$197,B252),),)</f>
        <v>0</v>
      </c>
      <c r="M252" s="381">
        <f>IFERROR(IF(B252="Funkcna poziadavka",VLOOKUP(G252,MODULY_CBA!$B$3:$E$23,3,0),),)</f>
        <v>0</v>
      </c>
      <c r="N252" s="381">
        <f>IFERROR(IF(B252="funkcna poziadavka",VLOOKUP(G252,MODULY_CBA!$B$3:$E$23,2,0),),)</f>
        <v>0</v>
      </c>
      <c r="O252" s="380">
        <f t="shared" si="20"/>
        <v>0</v>
      </c>
      <c r="P252" s="379">
        <f>IFERROR(O252*VLOOKUP(G252,MODULY_CBA!$B$3:$F$23,5,0),)</f>
        <v>0</v>
      </c>
      <c r="Q252" s="471" t="str">
        <f>IFERROR(VLOOKUP(G252,MODULY_CBA!$B$3:$I$23,6,0),"")</f>
        <v/>
      </c>
      <c r="R252" s="383"/>
      <c r="S252" s="383"/>
      <c r="T252" s="383"/>
      <c r="U252" s="383"/>
      <c r="V252" s="383"/>
      <c r="W252" s="383"/>
      <c r="X252" s="383"/>
      <c r="Y252" s="383"/>
      <c r="Z252" s="383"/>
      <c r="AA252" s="383"/>
      <c r="AB252" s="383"/>
      <c r="AC252" s="383"/>
      <c r="AD252" s="383"/>
      <c r="AE252" s="383"/>
      <c r="AF252" s="377"/>
    </row>
    <row r="253" spans="1:32">
      <c r="A253" s="393"/>
      <c r="B253" s="393"/>
      <c r="C253" s="524"/>
      <c r="D253" s="524"/>
      <c r="E253" s="524"/>
      <c r="F253" s="384"/>
      <c r="G253" s="384"/>
      <c r="H253" s="639"/>
      <c r="I253" s="639"/>
      <c r="J253" s="381">
        <f t="shared" si="18"/>
        <v>0</v>
      </c>
      <c r="K253" s="381">
        <f t="shared" si="19"/>
        <v>0</v>
      </c>
      <c r="L253" s="634">
        <f>IFERROR(IF(B253="funkcna poziadavka",VLOOKUP(G253,MODULY_CBA!$B$3:$E$23,4,0)*H253/SUMIFS($H$3:$H$197,$G$3:$G$197,G253,$B$3:$B$197,B253),),)</f>
        <v>0</v>
      </c>
      <c r="M253" s="381">
        <f>IFERROR(IF(B253="Funkcna poziadavka",VLOOKUP(G253,MODULY_CBA!$B$3:$E$23,3,0),),)</f>
        <v>0</v>
      </c>
      <c r="N253" s="381">
        <f>IFERROR(IF(B253="funkcna poziadavka",VLOOKUP(G253,MODULY_CBA!$B$3:$E$23,2,0),),)</f>
        <v>0</v>
      </c>
      <c r="O253" s="380">
        <f t="shared" si="20"/>
        <v>0</v>
      </c>
      <c r="P253" s="379">
        <f>IFERROR(O253*VLOOKUP(G253,MODULY_CBA!$B$3:$F$23,5,0),)</f>
        <v>0</v>
      </c>
      <c r="Q253" s="471" t="str">
        <f>IFERROR(VLOOKUP(G253,MODULY_CBA!$B$3:$I$23,6,0),"")</f>
        <v/>
      </c>
      <c r="R253" s="383"/>
      <c r="S253" s="383"/>
      <c r="T253" s="383"/>
      <c r="U253" s="383"/>
      <c r="V253" s="383"/>
      <c r="W253" s="383"/>
      <c r="X253" s="383"/>
      <c r="Y253" s="383"/>
      <c r="Z253" s="383"/>
      <c r="AA253" s="383"/>
      <c r="AB253" s="383"/>
      <c r="AC253" s="383"/>
      <c r="AD253" s="383"/>
      <c r="AE253" s="383"/>
      <c r="AF253" s="377"/>
    </row>
    <row r="254" spans="1:32">
      <c r="A254" s="393"/>
      <c r="B254" s="393"/>
      <c r="C254" s="524"/>
      <c r="D254" s="524"/>
      <c r="E254" s="524"/>
      <c r="F254" s="384"/>
      <c r="G254" s="384"/>
      <c r="H254" s="639"/>
      <c r="I254" s="639"/>
      <c r="J254" s="381">
        <f t="shared" si="18"/>
        <v>0</v>
      </c>
      <c r="K254" s="381">
        <f t="shared" si="19"/>
        <v>0</v>
      </c>
      <c r="L254" s="634">
        <f>IFERROR(IF(B254="funkcna poziadavka",VLOOKUP(G254,MODULY_CBA!$B$3:$E$23,4,0)*H254/SUMIFS($H$3:$H$197,$G$3:$G$197,G254,$B$3:$B$197,B254),),)</f>
        <v>0</v>
      </c>
      <c r="M254" s="381">
        <f>IFERROR(IF(B254="Funkcna poziadavka",VLOOKUP(G254,MODULY_CBA!$B$3:$E$23,3,0),),)</f>
        <v>0</v>
      </c>
      <c r="N254" s="381">
        <f>IFERROR(IF(B254="funkcna poziadavka",VLOOKUP(G254,MODULY_CBA!$B$3:$E$23,2,0),),)</f>
        <v>0</v>
      </c>
      <c r="O254" s="380">
        <f t="shared" si="20"/>
        <v>0</v>
      </c>
      <c r="P254" s="379">
        <f>IFERROR(O254*VLOOKUP(G254,MODULY_CBA!$B$3:$F$23,5,0),)</f>
        <v>0</v>
      </c>
      <c r="Q254" s="471" t="str">
        <f>IFERROR(VLOOKUP(G254,MODULY_CBA!$B$3:$I$23,6,0),"")</f>
        <v/>
      </c>
      <c r="R254" s="383"/>
      <c r="S254" s="383"/>
      <c r="T254" s="383"/>
      <c r="U254" s="383"/>
      <c r="V254" s="383"/>
      <c r="W254" s="383"/>
      <c r="X254" s="383"/>
      <c r="Y254" s="383"/>
      <c r="Z254" s="383"/>
      <c r="AA254" s="383"/>
      <c r="AB254" s="383"/>
      <c r="AC254" s="383"/>
      <c r="AD254" s="383"/>
      <c r="AE254" s="383"/>
      <c r="AF254" s="377"/>
    </row>
    <row r="255" spans="1:32">
      <c r="A255" s="393"/>
      <c r="B255" s="393"/>
      <c r="C255" s="524"/>
      <c r="D255" s="524"/>
      <c r="E255" s="524"/>
      <c r="F255" s="384"/>
      <c r="G255" s="384"/>
      <c r="H255" s="639"/>
      <c r="I255" s="639"/>
      <c r="J255" s="381">
        <f t="shared" si="18"/>
        <v>0</v>
      </c>
      <c r="K255" s="381">
        <f t="shared" si="19"/>
        <v>0</v>
      </c>
      <c r="L255" s="634">
        <f>IFERROR(IF(B255="funkcna poziadavka",VLOOKUP(G255,MODULY_CBA!$B$3:$E$23,4,0)*H255/SUMIFS($H$3:$H$197,$G$3:$G$197,G255,$B$3:$B$197,B255),),)</f>
        <v>0</v>
      </c>
      <c r="M255" s="381">
        <f>IFERROR(IF(B255="Funkcna poziadavka",VLOOKUP(G255,MODULY_CBA!$B$3:$E$23,3,0),),)</f>
        <v>0</v>
      </c>
      <c r="N255" s="381">
        <f>IFERROR(IF(B255="funkcna poziadavka",VLOOKUP(G255,MODULY_CBA!$B$3:$E$23,2,0),),)</f>
        <v>0</v>
      </c>
      <c r="O255" s="380">
        <f t="shared" si="20"/>
        <v>0</v>
      </c>
      <c r="P255" s="379">
        <f>IFERROR(O255*VLOOKUP(G255,MODULY_CBA!$B$3:$F$23,5,0),)</f>
        <v>0</v>
      </c>
      <c r="Q255" s="471" t="str">
        <f>IFERROR(VLOOKUP(G255,MODULY_CBA!$B$3:$I$23,6,0),"")</f>
        <v/>
      </c>
      <c r="R255" s="383"/>
      <c r="S255" s="383"/>
      <c r="T255" s="383"/>
      <c r="U255" s="383"/>
      <c r="V255" s="383"/>
      <c r="W255" s="383"/>
      <c r="X255" s="383"/>
      <c r="Y255" s="383"/>
      <c r="Z255" s="383"/>
      <c r="AA255" s="383"/>
      <c r="AB255" s="383"/>
      <c r="AC255" s="383"/>
      <c r="AD255" s="383"/>
      <c r="AE255" s="383"/>
      <c r="AF255" s="377"/>
    </row>
    <row r="256" spans="1:32">
      <c r="A256" s="393"/>
      <c r="B256" s="393"/>
      <c r="C256" s="524"/>
      <c r="D256" s="524"/>
      <c r="E256" s="524"/>
      <c r="F256" s="384"/>
      <c r="G256" s="384"/>
      <c r="H256" s="639"/>
      <c r="I256" s="639"/>
      <c r="J256" s="381">
        <f t="shared" si="18"/>
        <v>0</v>
      </c>
      <c r="K256" s="381">
        <f t="shared" si="19"/>
        <v>0</v>
      </c>
      <c r="L256" s="634">
        <f>IFERROR(IF(B256="funkcna poziadavka",VLOOKUP(G256,MODULY_CBA!$B$3:$E$23,4,0)*H256/SUMIFS($H$3:$H$197,$G$3:$G$197,G256,$B$3:$B$197,B256),),)</f>
        <v>0</v>
      </c>
      <c r="M256" s="381">
        <f>IFERROR(IF(B256="Funkcna poziadavka",VLOOKUP(G256,MODULY_CBA!$B$3:$E$23,3,0),),)</f>
        <v>0</v>
      </c>
      <c r="N256" s="381">
        <f>IFERROR(IF(B256="funkcna poziadavka",VLOOKUP(G256,MODULY_CBA!$B$3:$E$23,2,0),),)</f>
        <v>0</v>
      </c>
      <c r="O256" s="380">
        <f t="shared" si="20"/>
        <v>0</v>
      </c>
      <c r="P256" s="379">
        <f>IFERROR(O256*VLOOKUP(G256,MODULY_CBA!$B$3:$F$23,5,0),)</f>
        <v>0</v>
      </c>
      <c r="Q256" s="471" t="str">
        <f>IFERROR(VLOOKUP(G256,MODULY_CBA!$B$3:$I$23,6,0),"")</f>
        <v/>
      </c>
      <c r="R256" s="383"/>
      <c r="S256" s="383"/>
      <c r="T256" s="383"/>
      <c r="U256" s="383"/>
      <c r="V256" s="383"/>
      <c r="W256" s="383"/>
      <c r="X256" s="383"/>
      <c r="Y256" s="383"/>
      <c r="Z256" s="383"/>
      <c r="AA256" s="383"/>
      <c r="AB256" s="383"/>
      <c r="AC256" s="383"/>
      <c r="AD256" s="383"/>
      <c r="AE256" s="383"/>
      <c r="AF256" s="377"/>
    </row>
    <row r="257" spans="1:32">
      <c r="A257" s="393"/>
      <c r="B257" s="393"/>
      <c r="C257" s="524"/>
      <c r="D257" s="524"/>
      <c r="E257" s="524"/>
      <c r="F257" s="384"/>
      <c r="G257" s="384"/>
      <c r="H257" s="639"/>
      <c r="I257" s="639"/>
      <c r="J257" s="381">
        <f t="shared" si="18"/>
        <v>0</v>
      </c>
      <c r="K257" s="381">
        <f t="shared" si="19"/>
        <v>0</v>
      </c>
      <c r="L257" s="634">
        <f>IFERROR(IF(B257="funkcna poziadavka",VLOOKUP(G257,MODULY_CBA!$B$3:$E$23,4,0)*H257/SUMIFS($H$3:$H$197,$G$3:$G$197,G257,$B$3:$B$197,B257),),)</f>
        <v>0</v>
      </c>
      <c r="M257" s="381">
        <f>IFERROR(IF(B257="Funkcna poziadavka",VLOOKUP(G257,MODULY_CBA!$B$3:$E$23,3,0),),)</f>
        <v>0</v>
      </c>
      <c r="N257" s="381">
        <f>IFERROR(IF(B257="funkcna poziadavka",VLOOKUP(G257,MODULY_CBA!$B$3:$E$23,2,0),),)</f>
        <v>0</v>
      </c>
      <c r="O257" s="380">
        <f t="shared" si="20"/>
        <v>0</v>
      </c>
      <c r="P257" s="379">
        <f>IFERROR(O257*VLOOKUP(G257,MODULY_CBA!$B$3:$F$23,5,0),)</f>
        <v>0</v>
      </c>
      <c r="Q257" s="471" t="str">
        <f>IFERROR(VLOOKUP(G257,MODULY_CBA!$B$3:$I$23,6,0),"")</f>
        <v/>
      </c>
      <c r="R257" s="383"/>
      <c r="S257" s="383"/>
      <c r="T257" s="383"/>
      <c r="U257" s="383"/>
      <c r="V257" s="383"/>
      <c r="W257" s="383"/>
      <c r="X257" s="383"/>
      <c r="Y257" s="383"/>
      <c r="Z257" s="383"/>
      <c r="AA257" s="383"/>
      <c r="AB257" s="383"/>
      <c r="AC257" s="383"/>
      <c r="AD257" s="383"/>
      <c r="AE257" s="383"/>
      <c r="AF257" s="377"/>
    </row>
    <row r="258" spans="1:32">
      <c r="A258" s="393"/>
      <c r="B258" s="393"/>
      <c r="C258" s="524"/>
      <c r="D258" s="524"/>
      <c r="E258" s="524"/>
      <c r="F258" s="384"/>
      <c r="G258" s="384"/>
      <c r="H258" s="639"/>
      <c r="I258" s="639"/>
      <c r="J258" s="381">
        <f t="shared" si="18"/>
        <v>0</v>
      </c>
      <c r="K258" s="381">
        <f t="shared" si="19"/>
        <v>0</v>
      </c>
      <c r="L258" s="634">
        <f>IFERROR(IF(B258="funkcna poziadavka",VLOOKUP(G258,MODULY_CBA!$B$3:$E$23,4,0)*H258/SUMIFS($H$3:$H$197,$G$3:$G$197,G258,$B$3:$B$197,B258),),)</f>
        <v>0</v>
      </c>
      <c r="M258" s="381">
        <f>IFERROR(IF(B258="Funkcna poziadavka",VLOOKUP(G258,MODULY_CBA!$B$3:$E$23,3,0),),)</f>
        <v>0</v>
      </c>
      <c r="N258" s="381">
        <f>IFERROR(IF(B258="funkcna poziadavka",VLOOKUP(G258,MODULY_CBA!$B$3:$E$23,2,0),),)</f>
        <v>0</v>
      </c>
      <c r="O258" s="380">
        <f t="shared" si="20"/>
        <v>0</v>
      </c>
      <c r="P258" s="379">
        <f>IFERROR(O258*VLOOKUP(G258,MODULY_CBA!$B$3:$F$23,5,0),)</f>
        <v>0</v>
      </c>
      <c r="Q258" s="471" t="str">
        <f>IFERROR(VLOOKUP(G258,MODULY_CBA!$B$3:$I$23,6,0),"")</f>
        <v/>
      </c>
      <c r="R258" s="383"/>
      <c r="S258" s="383"/>
      <c r="T258" s="383"/>
      <c r="U258" s="383"/>
      <c r="V258" s="383"/>
      <c r="W258" s="383"/>
      <c r="X258" s="383"/>
      <c r="Y258" s="383"/>
      <c r="Z258" s="383"/>
      <c r="AA258" s="383"/>
      <c r="AB258" s="383"/>
      <c r="AC258" s="383"/>
      <c r="AD258" s="383"/>
      <c r="AE258" s="383"/>
      <c r="AF258" s="377"/>
    </row>
    <row r="259" spans="1:32">
      <c r="A259" s="393"/>
      <c r="B259" s="393"/>
      <c r="C259" s="524"/>
      <c r="D259" s="524"/>
      <c r="E259" s="524"/>
      <c r="F259" s="384"/>
      <c r="G259" s="384"/>
      <c r="H259" s="639"/>
      <c r="I259" s="639"/>
      <c r="J259" s="381">
        <f t="shared" si="18"/>
        <v>0</v>
      </c>
      <c r="K259" s="381">
        <f t="shared" si="19"/>
        <v>0</v>
      </c>
      <c r="L259" s="634">
        <f>IFERROR(IF(B259="funkcna poziadavka",VLOOKUP(G259,MODULY_CBA!$B$3:$E$23,4,0)*H259/SUMIFS($H$3:$H$197,$G$3:$G$197,G259,$B$3:$B$197,B259),),)</f>
        <v>0</v>
      </c>
      <c r="M259" s="381">
        <f>IFERROR(IF(B259="Funkcna poziadavka",VLOOKUP(G259,MODULY_CBA!$B$3:$E$23,3,0),),)</f>
        <v>0</v>
      </c>
      <c r="N259" s="381">
        <f>IFERROR(IF(B259="funkcna poziadavka",VLOOKUP(G259,MODULY_CBA!$B$3:$E$23,2,0),),)</f>
        <v>0</v>
      </c>
      <c r="O259" s="380">
        <f t="shared" si="20"/>
        <v>0</v>
      </c>
      <c r="P259" s="379">
        <f>IFERROR(O259*VLOOKUP(G259,MODULY_CBA!$B$3:$F$23,5,0),)</f>
        <v>0</v>
      </c>
      <c r="Q259" s="471" t="str">
        <f>IFERROR(VLOOKUP(G259,MODULY_CBA!$B$3:$I$23,6,0),"")</f>
        <v/>
      </c>
      <c r="R259" s="383"/>
      <c r="S259" s="383"/>
      <c r="T259" s="383"/>
      <c r="U259" s="383"/>
      <c r="V259" s="383"/>
      <c r="W259" s="383"/>
      <c r="X259" s="383"/>
      <c r="Y259" s="383"/>
      <c r="Z259" s="383"/>
      <c r="AA259" s="383"/>
      <c r="AB259" s="383"/>
      <c r="AC259" s="383"/>
      <c r="AD259" s="383"/>
      <c r="AE259" s="383"/>
      <c r="AF259" s="377"/>
    </row>
    <row r="260" spans="1:32">
      <c r="A260" s="393"/>
      <c r="B260" s="393"/>
      <c r="C260" s="524"/>
      <c r="D260" s="524"/>
      <c r="E260" s="524"/>
      <c r="F260" s="384"/>
      <c r="G260" s="384"/>
      <c r="H260" s="639"/>
      <c r="I260" s="639"/>
      <c r="J260" s="381">
        <f t="shared" si="18"/>
        <v>0</v>
      </c>
      <c r="K260" s="381">
        <f t="shared" si="19"/>
        <v>0</v>
      </c>
      <c r="L260" s="634">
        <f>IFERROR(IF(B260="funkcna poziadavka",VLOOKUP(G260,MODULY_CBA!$B$3:$E$23,4,0)*H260/SUMIFS($H$3:$H$197,$G$3:$G$197,G260,$B$3:$B$197,B260),),)</f>
        <v>0</v>
      </c>
      <c r="M260" s="381">
        <f>IFERROR(IF(B260="Funkcna poziadavka",VLOOKUP(G260,MODULY_CBA!$B$3:$E$23,3,0),),)</f>
        <v>0</v>
      </c>
      <c r="N260" s="381">
        <f>IFERROR(IF(B260="funkcna poziadavka",VLOOKUP(G260,MODULY_CBA!$B$3:$E$23,2,0),),)</f>
        <v>0</v>
      </c>
      <c r="O260" s="380">
        <f t="shared" si="20"/>
        <v>0</v>
      </c>
      <c r="P260" s="379">
        <f>IFERROR(O260*VLOOKUP(G260,MODULY_CBA!$B$3:$F$23,5,0),)</f>
        <v>0</v>
      </c>
      <c r="Q260" s="471" t="str">
        <f>IFERROR(VLOOKUP(G260,MODULY_CBA!$B$3:$I$23,6,0),"")</f>
        <v/>
      </c>
      <c r="R260" s="383"/>
      <c r="S260" s="383"/>
      <c r="T260" s="383"/>
      <c r="U260" s="383"/>
      <c r="V260" s="383"/>
      <c r="W260" s="383"/>
      <c r="X260" s="383"/>
      <c r="Y260" s="383"/>
      <c r="Z260" s="383"/>
      <c r="AA260" s="383"/>
      <c r="AB260" s="383"/>
      <c r="AC260" s="383"/>
      <c r="AD260" s="383"/>
      <c r="AE260" s="383"/>
      <c r="AF260" s="377"/>
    </row>
    <row r="261" spans="1:32">
      <c r="A261" s="393"/>
      <c r="B261" s="393"/>
      <c r="C261" s="524"/>
      <c r="D261" s="524"/>
      <c r="E261" s="524"/>
      <c r="F261" s="384"/>
      <c r="G261" s="384"/>
      <c r="H261" s="639"/>
      <c r="I261" s="639"/>
      <c r="J261" s="381">
        <f t="shared" si="18"/>
        <v>0</v>
      </c>
      <c r="K261" s="381">
        <f t="shared" si="19"/>
        <v>0</v>
      </c>
      <c r="L261" s="634">
        <f>IFERROR(IF(B261="funkcna poziadavka",VLOOKUP(G261,MODULY_CBA!$B$3:$E$23,4,0)*H261/SUMIFS($H$3:$H$197,$G$3:$G$197,G261,$B$3:$B$197,B261),),)</f>
        <v>0</v>
      </c>
      <c r="M261" s="381">
        <f>IFERROR(IF(B261="Funkcna poziadavka",VLOOKUP(G261,MODULY_CBA!$B$3:$E$23,3,0),),)</f>
        <v>0</v>
      </c>
      <c r="N261" s="381">
        <f>IFERROR(IF(B261="funkcna poziadavka",VLOOKUP(G261,MODULY_CBA!$B$3:$E$23,2,0),),)</f>
        <v>0</v>
      </c>
      <c r="O261" s="380">
        <f t="shared" si="20"/>
        <v>0</v>
      </c>
      <c r="P261" s="379">
        <f>IFERROR(O261*VLOOKUP(G261,MODULY_CBA!$B$3:$F$23,5,0),)</f>
        <v>0</v>
      </c>
      <c r="Q261" s="471" t="str">
        <f>IFERROR(VLOOKUP(G261,MODULY_CBA!$B$3:$I$23,6,0),"")</f>
        <v/>
      </c>
      <c r="R261" s="383"/>
      <c r="S261" s="383"/>
      <c r="T261" s="383"/>
      <c r="U261" s="383"/>
      <c r="V261" s="383"/>
      <c r="W261" s="383"/>
      <c r="X261" s="383"/>
      <c r="Y261" s="383"/>
      <c r="Z261" s="383"/>
      <c r="AA261" s="383"/>
      <c r="AB261" s="383"/>
      <c r="AC261" s="383"/>
      <c r="AD261" s="383"/>
      <c r="AE261" s="383"/>
      <c r="AF261" s="377"/>
    </row>
    <row r="262" spans="1:32">
      <c r="A262" s="393"/>
      <c r="B262" s="393"/>
      <c r="C262" s="524"/>
      <c r="D262" s="524"/>
      <c r="E262" s="524"/>
      <c r="F262" s="384"/>
      <c r="G262" s="384"/>
      <c r="H262" s="639"/>
      <c r="I262" s="639"/>
      <c r="J262" s="381">
        <f t="shared" si="18"/>
        <v>0</v>
      </c>
      <c r="K262" s="381">
        <f t="shared" si="19"/>
        <v>0</v>
      </c>
      <c r="L262" s="634">
        <f>IFERROR(IF(B262="funkcna poziadavka",VLOOKUP(G262,MODULY_CBA!$B$3:$E$23,4,0)*H262/SUMIFS($H$3:$H$197,$G$3:$G$197,G262,$B$3:$B$197,B262),),)</f>
        <v>0</v>
      </c>
      <c r="M262" s="381">
        <f>IFERROR(IF(B262="Funkcna poziadavka",VLOOKUP(G262,MODULY_CBA!$B$3:$E$23,3,0),),)</f>
        <v>0</v>
      </c>
      <c r="N262" s="381">
        <f>IFERROR(IF(B262="funkcna poziadavka",VLOOKUP(G262,MODULY_CBA!$B$3:$E$23,2,0),),)</f>
        <v>0</v>
      </c>
      <c r="O262" s="380">
        <f t="shared" si="20"/>
        <v>0</v>
      </c>
      <c r="P262" s="379">
        <f>IFERROR(O262*VLOOKUP(G262,MODULY_CBA!$B$3:$F$23,5,0),)</f>
        <v>0</v>
      </c>
      <c r="Q262" s="471" t="str">
        <f>IFERROR(VLOOKUP(G262,MODULY_CBA!$B$3:$I$23,6,0),"")</f>
        <v/>
      </c>
      <c r="R262" s="383"/>
      <c r="S262" s="383"/>
      <c r="T262" s="383"/>
      <c r="U262" s="383"/>
      <c r="V262" s="383"/>
      <c r="W262" s="383"/>
      <c r="X262" s="383"/>
      <c r="Y262" s="383"/>
      <c r="Z262" s="383"/>
      <c r="AA262" s="383"/>
      <c r="AB262" s="383"/>
      <c r="AC262" s="383"/>
      <c r="AD262" s="383"/>
      <c r="AE262" s="383"/>
      <c r="AF262" s="377"/>
    </row>
    <row r="263" spans="1:32">
      <c r="A263" s="393"/>
      <c r="B263" s="393"/>
      <c r="C263" s="524"/>
      <c r="D263" s="524"/>
      <c r="E263" s="524"/>
      <c r="F263" s="384"/>
      <c r="G263" s="384"/>
      <c r="H263" s="639"/>
      <c r="I263" s="639"/>
      <c r="J263" s="381">
        <f t="shared" si="18"/>
        <v>0</v>
      </c>
      <c r="K263" s="381">
        <f t="shared" si="19"/>
        <v>0</v>
      </c>
      <c r="L263" s="634">
        <f>IFERROR(IF(B263="funkcna poziadavka",VLOOKUP(G263,MODULY_CBA!$B$3:$E$23,4,0)*H263/SUMIFS($H$3:$H$197,$G$3:$G$197,G263,$B$3:$B$197,B263),),)</f>
        <v>0</v>
      </c>
      <c r="M263" s="381">
        <f>IFERROR(IF(B263="Funkcna poziadavka",VLOOKUP(G263,MODULY_CBA!$B$3:$E$23,3,0),),)</f>
        <v>0</v>
      </c>
      <c r="N263" s="381">
        <f>IFERROR(IF(B263="funkcna poziadavka",VLOOKUP(G263,MODULY_CBA!$B$3:$E$23,2,0),),)</f>
        <v>0</v>
      </c>
      <c r="O263" s="380">
        <f t="shared" si="20"/>
        <v>0</v>
      </c>
      <c r="P263" s="379">
        <f>IFERROR(O263*VLOOKUP(G263,MODULY_CBA!$B$3:$F$23,5,0),)</f>
        <v>0</v>
      </c>
      <c r="Q263" s="471" t="str">
        <f>IFERROR(VLOOKUP(G263,MODULY_CBA!$B$3:$I$23,6,0),"")</f>
        <v/>
      </c>
      <c r="R263" s="383"/>
      <c r="S263" s="383"/>
      <c r="T263" s="383"/>
      <c r="U263" s="383"/>
      <c r="V263" s="383"/>
      <c r="W263" s="383"/>
      <c r="X263" s="383"/>
      <c r="Y263" s="383"/>
      <c r="Z263" s="383"/>
      <c r="AA263" s="383"/>
      <c r="AB263" s="383"/>
      <c r="AC263" s="383"/>
      <c r="AD263" s="383"/>
      <c r="AE263" s="383"/>
      <c r="AF263" s="377"/>
    </row>
    <row r="264" spans="1:32">
      <c r="A264" s="393"/>
      <c r="B264" s="393"/>
      <c r="C264" s="524"/>
      <c r="D264" s="524"/>
      <c r="E264" s="524"/>
      <c r="F264" s="384"/>
      <c r="G264" s="384"/>
      <c r="H264" s="639"/>
      <c r="I264" s="639"/>
      <c r="J264" s="381">
        <f t="shared" si="18"/>
        <v>0</v>
      </c>
      <c r="K264" s="381">
        <f t="shared" si="19"/>
        <v>0</v>
      </c>
      <c r="L264" s="634">
        <f>IFERROR(IF(B264="funkcna poziadavka",VLOOKUP(G264,MODULY_CBA!$B$3:$E$23,4,0)*H264/SUMIFS($H$3:$H$197,$G$3:$G$197,G264,$B$3:$B$197,B264),),)</f>
        <v>0</v>
      </c>
      <c r="M264" s="381">
        <f>IFERROR(IF(B264="Funkcna poziadavka",VLOOKUP(G264,MODULY_CBA!$B$3:$E$23,3,0),),)</f>
        <v>0</v>
      </c>
      <c r="N264" s="381">
        <f>IFERROR(IF(B264="funkcna poziadavka",VLOOKUP(G264,MODULY_CBA!$B$3:$E$23,2,0),),)</f>
        <v>0</v>
      </c>
      <c r="O264" s="380">
        <f t="shared" si="20"/>
        <v>0</v>
      </c>
      <c r="P264" s="379">
        <f>IFERROR(O264*VLOOKUP(G264,MODULY_CBA!$B$3:$F$23,5,0),)</f>
        <v>0</v>
      </c>
      <c r="Q264" s="471" t="str">
        <f>IFERROR(VLOOKUP(G264,MODULY_CBA!$B$3:$I$23,6,0),"")</f>
        <v/>
      </c>
      <c r="R264" s="383"/>
      <c r="S264" s="383"/>
      <c r="T264" s="383"/>
      <c r="U264" s="383"/>
      <c r="V264" s="383"/>
      <c r="W264" s="383"/>
      <c r="X264" s="383"/>
      <c r="Y264" s="383"/>
      <c r="Z264" s="383"/>
      <c r="AA264" s="383"/>
      <c r="AB264" s="383"/>
      <c r="AC264" s="383"/>
      <c r="AD264" s="383"/>
      <c r="AE264" s="383"/>
      <c r="AF264" s="377"/>
    </row>
    <row r="265" spans="1:32">
      <c r="A265" s="393"/>
      <c r="B265" s="393"/>
      <c r="C265" s="524"/>
      <c r="D265" s="524"/>
      <c r="E265" s="524"/>
      <c r="F265" s="384"/>
      <c r="G265" s="384"/>
      <c r="H265" s="639"/>
      <c r="I265" s="639"/>
      <c r="J265" s="381">
        <f t="shared" si="18"/>
        <v>0</v>
      </c>
      <c r="K265" s="381">
        <f t="shared" si="19"/>
        <v>0</v>
      </c>
      <c r="L265" s="634">
        <f>IFERROR(IF(B265="funkcna poziadavka",VLOOKUP(G265,MODULY_CBA!$B$3:$E$23,4,0)*H265/SUMIFS($H$3:$H$197,$G$3:$G$197,G265,$B$3:$B$197,B265),),)</f>
        <v>0</v>
      </c>
      <c r="M265" s="381">
        <f>IFERROR(IF(B265="Funkcna poziadavka",VLOOKUP(G265,MODULY_CBA!$B$3:$E$23,3,0),),)</f>
        <v>0</v>
      </c>
      <c r="N265" s="381">
        <f>IFERROR(IF(B265="funkcna poziadavka",VLOOKUP(G265,MODULY_CBA!$B$3:$E$23,2,0),),)</f>
        <v>0</v>
      </c>
      <c r="O265" s="380">
        <f t="shared" si="20"/>
        <v>0</v>
      </c>
      <c r="P265" s="379">
        <f>IFERROR(O265*VLOOKUP(G265,MODULY_CBA!$B$3:$F$23,5,0),)</f>
        <v>0</v>
      </c>
      <c r="Q265" s="471" t="str">
        <f>IFERROR(VLOOKUP(G265,MODULY_CBA!$B$3:$I$23,6,0),"")</f>
        <v/>
      </c>
      <c r="R265" s="383"/>
      <c r="S265" s="383"/>
      <c r="T265" s="383"/>
      <c r="U265" s="383"/>
      <c r="V265" s="383"/>
      <c r="W265" s="383"/>
      <c r="X265" s="383"/>
      <c r="Y265" s="383"/>
      <c r="Z265" s="383"/>
      <c r="AA265" s="383"/>
      <c r="AB265" s="383"/>
      <c r="AC265" s="383"/>
      <c r="AD265" s="383"/>
      <c r="AE265" s="383"/>
      <c r="AF265" s="377"/>
    </row>
    <row r="266" spans="1:32">
      <c r="A266" s="393"/>
      <c r="B266" s="393"/>
      <c r="C266" s="524"/>
      <c r="D266" s="524"/>
      <c r="E266" s="524"/>
      <c r="F266" s="384"/>
      <c r="G266" s="384"/>
      <c r="H266" s="639"/>
      <c r="I266" s="639"/>
      <c r="J266" s="381">
        <f t="shared" si="18"/>
        <v>0</v>
      </c>
      <c r="K266" s="381">
        <f t="shared" si="19"/>
        <v>0</v>
      </c>
      <c r="L266" s="634">
        <f>IFERROR(IF(B266="funkcna poziadavka",VLOOKUP(G266,MODULY_CBA!$B$3:$E$23,4,0)*H266/SUMIFS($H$3:$H$197,$G$3:$G$197,G266,$B$3:$B$197,B266),),)</f>
        <v>0</v>
      </c>
      <c r="M266" s="381">
        <f>IFERROR(IF(B266="Funkcna poziadavka",VLOOKUP(G266,MODULY_CBA!$B$3:$E$23,3,0),),)</f>
        <v>0</v>
      </c>
      <c r="N266" s="381">
        <f>IFERROR(IF(B266="funkcna poziadavka",VLOOKUP(G266,MODULY_CBA!$B$3:$E$23,2,0),),)</f>
        <v>0</v>
      </c>
      <c r="O266" s="380">
        <f t="shared" si="20"/>
        <v>0</v>
      </c>
      <c r="P266" s="379">
        <f>IFERROR(O266*VLOOKUP(G266,MODULY_CBA!$B$3:$F$23,5,0),)</f>
        <v>0</v>
      </c>
      <c r="Q266" s="471" t="str">
        <f>IFERROR(VLOOKUP(G266,MODULY_CBA!$B$3:$I$23,6,0),"")</f>
        <v/>
      </c>
      <c r="R266" s="383"/>
      <c r="S266" s="383"/>
      <c r="T266" s="383"/>
      <c r="U266" s="383"/>
      <c r="V266" s="383"/>
      <c r="W266" s="383"/>
      <c r="X266" s="383"/>
      <c r="Y266" s="383"/>
      <c r="Z266" s="383"/>
      <c r="AA266" s="383"/>
      <c r="AB266" s="383"/>
      <c r="AC266" s="383"/>
      <c r="AD266" s="383"/>
      <c r="AE266" s="383"/>
      <c r="AF266" s="377"/>
    </row>
    <row r="267" spans="1:32">
      <c r="A267" s="393"/>
      <c r="B267" s="393"/>
      <c r="C267" s="524"/>
      <c r="D267" s="524"/>
      <c r="E267" s="524"/>
      <c r="F267" s="384"/>
      <c r="G267" s="384"/>
      <c r="H267" s="639"/>
      <c r="I267" s="639"/>
      <c r="J267" s="381">
        <f t="shared" si="18"/>
        <v>0</v>
      </c>
      <c r="K267" s="381">
        <f t="shared" si="19"/>
        <v>0</v>
      </c>
      <c r="L267" s="634">
        <f>IFERROR(IF(B267="funkcna poziadavka",VLOOKUP(G267,MODULY_CBA!$B$3:$E$23,4,0)*H267/SUMIFS($H$3:$H$197,$G$3:$G$197,G267,$B$3:$B$197,B267),),)</f>
        <v>0</v>
      </c>
      <c r="M267" s="381">
        <f>IFERROR(IF(B267="Funkcna poziadavka",VLOOKUP(G267,MODULY_CBA!$B$3:$E$23,3,0),),)</f>
        <v>0</v>
      </c>
      <c r="N267" s="381">
        <f>IFERROR(IF(B267="funkcna poziadavka",VLOOKUP(G267,MODULY_CBA!$B$3:$E$23,2,0),),)</f>
        <v>0</v>
      </c>
      <c r="O267" s="380">
        <f t="shared" si="20"/>
        <v>0</v>
      </c>
      <c r="P267" s="379">
        <f>IFERROR(O267*VLOOKUP(G267,MODULY_CBA!$B$3:$F$23,5,0),)</f>
        <v>0</v>
      </c>
      <c r="Q267" s="471" t="str">
        <f>IFERROR(VLOOKUP(G267,MODULY_CBA!$B$3:$I$23,6,0),"")</f>
        <v/>
      </c>
      <c r="R267" s="383"/>
      <c r="S267" s="383"/>
      <c r="T267" s="383"/>
      <c r="U267" s="383"/>
      <c r="V267" s="383"/>
      <c r="W267" s="383"/>
      <c r="X267" s="383"/>
      <c r="Y267" s="383"/>
      <c r="Z267" s="383"/>
      <c r="AA267" s="383"/>
      <c r="AB267" s="383"/>
      <c r="AC267" s="383"/>
      <c r="AD267" s="383"/>
      <c r="AE267" s="383"/>
      <c r="AF267" s="377"/>
    </row>
    <row r="268" spans="1:32">
      <c r="A268" s="393"/>
      <c r="B268" s="393"/>
      <c r="C268" s="524"/>
      <c r="D268" s="524"/>
      <c r="E268" s="524"/>
      <c r="F268" s="384"/>
      <c r="G268" s="384"/>
      <c r="H268" s="639"/>
      <c r="I268" s="639"/>
      <c r="J268" s="381">
        <f t="shared" si="18"/>
        <v>0</v>
      </c>
      <c r="K268" s="381">
        <f t="shared" si="19"/>
        <v>0</v>
      </c>
      <c r="L268" s="634">
        <f>IFERROR(IF(B268="funkcna poziadavka",VLOOKUP(G268,MODULY_CBA!$B$3:$E$23,4,0)*H268/SUMIFS($H$3:$H$197,$G$3:$G$197,G268,$B$3:$B$197,B268),),)</f>
        <v>0</v>
      </c>
      <c r="M268" s="381">
        <f>IFERROR(IF(B268="Funkcna poziadavka",VLOOKUP(G268,MODULY_CBA!$B$3:$E$23,3,0),),)</f>
        <v>0</v>
      </c>
      <c r="N268" s="381">
        <f>IFERROR(IF(B268="funkcna poziadavka",VLOOKUP(G268,MODULY_CBA!$B$3:$E$23,2,0),),)</f>
        <v>0</v>
      </c>
      <c r="O268" s="380">
        <f t="shared" si="20"/>
        <v>0</v>
      </c>
      <c r="P268" s="379">
        <f>IFERROR(O268*VLOOKUP(G268,MODULY_CBA!$B$3:$F$23,5,0),)</f>
        <v>0</v>
      </c>
      <c r="Q268" s="471" t="str">
        <f>IFERROR(VLOOKUP(G268,MODULY_CBA!$B$3:$I$23,6,0),"")</f>
        <v/>
      </c>
      <c r="R268" s="383"/>
      <c r="S268" s="383"/>
      <c r="T268" s="383"/>
      <c r="U268" s="383"/>
      <c r="V268" s="383"/>
      <c r="W268" s="383"/>
      <c r="X268" s="383"/>
      <c r="Y268" s="383"/>
      <c r="Z268" s="383"/>
      <c r="AA268" s="383"/>
      <c r="AB268" s="383"/>
      <c r="AC268" s="383"/>
      <c r="AD268" s="383"/>
      <c r="AE268" s="383"/>
      <c r="AF268" s="377"/>
    </row>
    <row r="269" spans="1:32">
      <c r="A269" s="393"/>
      <c r="B269" s="393"/>
      <c r="C269" s="524"/>
      <c r="D269" s="524"/>
      <c r="E269" s="524"/>
      <c r="F269" s="384"/>
      <c r="G269" s="384"/>
      <c r="H269" s="639"/>
      <c r="I269" s="639"/>
      <c r="J269" s="381">
        <f t="shared" si="18"/>
        <v>0</v>
      </c>
      <c r="K269" s="381">
        <f t="shared" si="19"/>
        <v>0</v>
      </c>
      <c r="L269" s="634">
        <f>IFERROR(IF(B269="funkcna poziadavka",VLOOKUP(G269,MODULY_CBA!$B$3:$E$23,4,0)*H269/SUMIFS($H$3:$H$197,$G$3:$G$197,G269,$B$3:$B$197,B269),),)</f>
        <v>0</v>
      </c>
      <c r="M269" s="381">
        <f>IFERROR(IF(B269="Funkcna poziadavka",VLOOKUP(G269,MODULY_CBA!$B$3:$E$23,3,0),),)</f>
        <v>0</v>
      </c>
      <c r="N269" s="381">
        <f>IFERROR(IF(B269="funkcna poziadavka",VLOOKUP(G269,MODULY_CBA!$B$3:$E$23,2,0),),)</f>
        <v>0</v>
      </c>
      <c r="O269" s="380">
        <f t="shared" si="20"/>
        <v>0</v>
      </c>
      <c r="P269" s="379">
        <f>IFERROR(O269*VLOOKUP(G269,MODULY_CBA!$B$3:$F$23,5,0),)</f>
        <v>0</v>
      </c>
      <c r="Q269" s="471" t="str">
        <f>IFERROR(VLOOKUP(G269,MODULY_CBA!$B$3:$I$23,6,0),"")</f>
        <v/>
      </c>
      <c r="R269" s="383"/>
      <c r="S269" s="383"/>
      <c r="T269" s="383"/>
      <c r="U269" s="383"/>
      <c r="V269" s="383"/>
      <c r="W269" s="383"/>
      <c r="X269" s="383"/>
      <c r="Y269" s="383"/>
      <c r="Z269" s="383"/>
      <c r="AA269" s="383"/>
      <c r="AB269" s="383"/>
      <c r="AC269" s="383"/>
      <c r="AD269" s="383"/>
      <c r="AE269" s="383"/>
      <c r="AF269" s="377"/>
    </row>
    <row r="270" spans="1:32">
      <c r="A270" s="393"/>
      <c r="B270" s="393"/>
      <c r="C270" s="524"/>
      <c r="D270" s="524"/>
      <c r="E270" s="524"/>
      <c r="F270" s="384"/>
      <c r="G270" s="384"/>
      <c r="H270" s="639"/>
      <c r="I270" s="639"/>
      <c r="J270" s="381">
        <f t="shared" si="18"/>
        <v>0</v>
      </c>
      <c r="K270" s="381">
        <f t="shared" si="19"/>
        <v>0</v>
      </c>
      <c r="L270" s="634">
        <f>IFERROR(IF(B270="funkcna poziadavka",VLOOKUP(G270,MODULY_CBA!$B$3:$E$23,4,0)*H270/SUMIFS($H$3:$H$197,$G$3:$G$197,G270,$B$3:$B$197,B270),),)</f>
        <v>0</v>
      </c>
      <c r="M270" s="381">
        <f>IFERROR(IF(B270="Funkcna poziadavka",VLOOKUP(G270,MODULY_CBA!$B$3:$E$23,3,0),),)</f>
        <v>0</v>
      </c>
      <c r="N270" s="381">
        <f>IFERROR(IF(B270="funkcna poziadavka",VLOOKUP(G270,MODULY_CBA!$B$3:$E$23,2,0),),)</f>
        <v>0</v>
      </c>
      <c r="O270" s="380">
        <f t="shared" si="20"/>
        <v>0</v>
      </c>
      <c r="P270" s="379">
        <f>IFERROR(O270*VLOOKUP(G270,MODULY_CBA!$B$3:$F$23,5,0),)</f>
        <v>0</v>
      </c>
      <c r="Q270" s="471" t="str">
        <f>IFERROR(VLOOKUP(G270,MODULY_CBA!$B$3:$I$23,6,0),"")</f>
        <v/>
      </c>
      <c r="R270" s="383"/>
      <c r="S270" s="383"/>
      <c r="T270" s="383"/>
      <c r="U270" s="383"/>
      <c r="V270" s="383"/>
      <c r="W270" s="383"/>
      <c r="X270" s="383"/>
      <c r="Y270" s="383"/>
      <c r="Z270" s="383"/>
      <c r="AA270" s="383"/>
      <c r="AB270" s="383"/>
      <c r="AC270" s="383"/>
      <c r="AD270" s="383"/>
      <c r="AE270" s="383"/>
      <c r="AF270" s="377"/>
    </row>
    <row r="271" spans="1:32">
      <c r="A271" s="393"/>
      <c r="B271" s="393"/>
      <c r="C271" s="524"/>
      <c r="D271" s="524"/>
      <c r="E271" s="524"/>
      <c r="F271" s="384"/>
      <c r="G271" s="384"/>
      <c r="H271" s="639"/>
      <c r="I271" s="639"/>
      <c r="J271" s="381">
        <f t="shared" si="18"/>
        <v>0</v>
      </c>
      <c r="K271" s="381">
        <f t="shared" si="19"/>
        <v>0</v>
      </c>
      <c r="L271" s="634">
        <f>IFERROR(IF(B271="funkcna poziadavka",VLOOKUP(G271,MODULY_CBA!$B$3:$E$23,4,0)*H271/SUMIFS($H$3:$H$197,$G$3:$G$197,G271,$B$3:$B$197,B271),),)</f>
        <v>0</v>
      </c>
      <c r="M271" s="381">
        <f>IFERROR(IF(B271="Funkcna poziadavka",VLOOKUP(G271,MODULY_CBA!$B$3:$E$23,3,0),),)</f>
        <v>0</v>
      </c>
      <c r="N271" s="381">
        <f>IFERROR(IF(B271="funkcna poziadavka",VLOOKUP(G271,MODULY_CBA!$B$3:$E$23,2,0),),)</f>
        <v>0</v>
      </c>
      <c r="O271" s="380">
        <f t="shared" si="20"/>
        <v>0</v>
      </c>
      <c r="P271" s="379">
        <f>IFERROR(O271*VLOOKUP(G271,MODULY_CBA!$B$3:$F$23,5,0),)</f>
        <v>0</v>
      </c>
      <c r="Q271" s="471" t="str">
        <f>IFERROR(VLOOKUP(G271,MODULY_CBA!$B$3:$I$23,6,0),"")</f>
        <v/>
      </c>
      <c r="R271" s="383"/>
      <c r="S271" s="383"/>
      <c r="T271" s="383"/>
      <c r="U271" s="383"/>
      <c r="V271" s="383"/>
      <c r="W271" s="383"/>
      <c r="X271" s="383"/>
      <c r="Y271" s="383"/>
      <c r="Z271" s="383"/>
      <c r="AA271" s="383"/>
      <c r="AB271" s="383"/>
      <c r="AC271" s="383"/>
      <c r="AD271" s="383"/>
      <c r="AE271" s="383"/>
      <c r="AF271" s="377"/>
    </row>
    <row r="272" spans="1:32">
      <c r="A272" s="393"/>
      <c r="B272" s="393"/>
      <c r="C272" s="524"/>
      <c r="D272" s="524"/>
      <c r="E272" s="524"/>
      <c r="F272" s="384"/>
      <c r="G272" s="384"/>
      <c r="H272" s="639"/>
      <c r="I272" s="639"/>
      <c r="J272" s="381">
        <f t="shared" si="18"/>
        <v>0</v>
      </c>
      <c r="K272" s="381">
        <f t="shared" si="19"/>
        <v>0</v>
      </c>
      <c r="L272" s="634">
        <f>IFERROR(IF(B272="funkcna poziadavka",VLOOKUP(G272,MODULY_CBA!$B$3:$E$23,4,0)*H272/SUMIFS($H$3:$H$197,$G$3:$G$197,G272,$B$3:$B$197,B272),),)</f>
        <v>0</v>
      </c>
      <c r="M272" s="381">
        <f>IFERROR(IF(B272="Funkcna poziadavka",VLOOKUP(G272,MODULY_CBA!$B$3:$E$23,3,0),),)</f>
        <v>0</v>
      </c>
      <c r="N272" s="381">
        <f>IFERROR(IF(B272="funkcna poziadavka",VLOOKUP(G272,MODULY_CBA!$B$3:$E$23,2,0),),)</f>
        <v>0</v>
      </c>
      <c r="O272" s="380">
        <f t="shared" si="20"/>
        <v>0</v>
      </c>
      <c r="P272" s="379">
        <f>IFERROR(O272*VLOOKUP(G272,MODULY_CBA!$B$3:$F$23,5,0),)</f>
        <v>0</v>
      </c>
      <c r="Q272" s="471" t="str">
        <f>IFERROR(VLOOKUP(G272,MODULY_CBA!$B$3:$I$23,6,0),"")</f>
        <v/>
      </c>
      <c r="R272" s="383"/>
      <c r="S272" s="383"/>
      <c r="T272" s="383"/>
      <c r="U272" s="383"/>
      <c r="V272" s="383"/>
      <c r="W272" s="383"/>
      <c r="X272" s="383"/>
      <c r="Y272" s="383"/>
      <c r="Z272" s="383"/>
      <c r="AA272" s="383"/>
      <c r="AB272" s="383"/>
      <c r="AC272" s="383"/>
      <c r="AD272" s="383"/>
      <c r="AE272" s="383"/>
      <c r="AF272" s="377"/>
    </row>
    <row r="273" spans="1:32">
      <c r="A273" s="393"/>
      <c r="B273" s="393"/>
      <c r="C273" s="524"/>
      <c r="D273" s="524"/>
      <c r="E273" s="524"/>
      <c r="F273" s="384"/>
      <c r="G273" s="384"/>
      <c r="H273" s="639"/>
      <c r="I273" s="639"/>
      <c r="J273" s="381">
        <f t="shared" si="18"/>
        <v>0</v>
      </c>
      <c r="K273" s="381">
        <f t="shared" si="19"/>
        <v>0</v>
      </c>
      <c r="L273" s="634">
        <f>IFERROR(IF(B273="funkcna poziadavka",VLOOKUP(G273,MODULY_CBA!$B$3:$E$23,4,0)*H273/SUMIFS($H$3:$H$197,$G$3:$G$197,G273,$B$3:$B$197,B273),),)</f>
        <v>0</v>
      </c>
      <c r="M273" s="381">
        <f>IFERROR(IF(B273="Funkcna poziadavka",VLOOKUP(G273,MODULY_CBA!$B$3:$E$23,3,0),),)</f>
        <v>0</v>
      </c>
      <c r="N273" s="381">
        <f>IFERROR(IF(B273="funkcna poziadavka",VLOOKUP(G273,MODULY_CBA!$B$3:$E$23,2,0),),)</f>
        <v>0</v>
      </c>
      <c r="O273" s="380">
        <f t="shared" si="20"/>
        <v>0</v>
      </c>
      <c r="P273" s="379">
        <f>IFERROR(O273*VLOOKUP(G273,MODULY_CBA!$B$3:$F$23,5,0),)</f>
        <v>0</v>
      </c>
      <c r="Q273" s="471" t="str">
        <f>IFERROR(VLOOKUP(G273,MODULY_CBA!$B$3:$I$23,6,0),"")</f>
        <v/>
      </c>
      <c r="R273" s="383"/>
      <c r="S273" s="383"/>
      <c r="T273" s="383"/>
      <c r="U273" s="383"/>
      <c r="V273" s="383"/>
      <c r="W273" s="383"/>
      <c r="X273" s="383"/>
      <c r="Y273" s="383"/>
      <c r="Z273" s="383"/>
      <c r="AA273" s="383"/>
      <c r="AB273" s="383"/>
      <c r="AC273" s="383"/>
      <c r="AD273" s="383"/>
      <c r="AE273" s="383"/>
      <c r="AF273" s="377"/>
    </row>
    <row r="274" spans="1:32">
      <c r="A274" s="393"/>
      <c r="B274" s="393"/>
      <c r="C274" s="524"/>
      <c r="D274" s="524"/>
      <c r="E274" s="524"/>
      <c r="F274" s="384"/>
      <c r="G274" s="384"/>
      <c r="H274" s="639"/>
      <c r="I274" s="639"/>
      <c r="J274" s="381">
        <f t="shared" si="18"/>
        <v>0</v>
      </c>
      <c r="K274" s="381">
        <f t="shared" si="19"/>
        <v>0</v>
      </c>
      <c r="L274" s="634">
        <f>IFERROR(IF(B274="funkcna poziadavka",VLOOKUP(G274,MODULY_CBA!$B$3:$E$23,4,0)*H274/SUMIFS($H$3:$H$197,$G$3:$G$197,G274,$B$3:$B$197,B274),),)</f>
        <v>0</v>
      </c>
      <c r="M274" s="381">
        <f>IFERROR(IF(B274="Funkcna poziadavka",VLOOKUP(G274,MODULY_CBA!$B$3:$E$23,3,0),),)</f>
        <v>0</v>
      </c>
      <c r="N274" s="381">
        <f>IFERROR(IF(B274="funkcna poziadavka",VLOOKUP(G274,MODULY_CBA!$B$3:$E$23,2,0),),)</f>
        <v>0</v>
      </c>
      <c r="O274" s="380">
        <f t="shared" si="20"/>
        <v>0</v>
      </c>
      <c r="P274" s="379">
        <f>IFERROR(O274*VLOOKUP(G274,MODULY_CBA!$B$3:$F$23,5,0),)</f>
        <v>0</v>
      </c>
      <c r="Q274" s="471" t="str">
        <f>IFERROR(VLOOKUP(G274,MODULY_CBA!$B$3:$I$23,6,0),"")</f>
        <v/>
      </c>
      <c r="R274" s="383"/>
      <c r="S274" s="383"/>
      <c r="T274" s="383"/>
      <c r="U274" s="383"/>
      <c r="V274" s="383"/>
      <c r="W274" s="383"/>
      <c r="X274" s="383"/>
      <c r="Y274" s="383"/>
      <c r="Z274" s="383"/>
      <c r="AA274" s="383"/>
      <c r="AB274" s="383"/>
      <c r="AC274" s="383"/>
      <c r="AD274" s="383"/>
      <c r="AE274" s="383"/>
      <c r="AF274" s="377"/>
    </row>
    <row r="275" spans="1:32">
      <c r="A275" s="393"/>
      <c r="B275" s="393"/>
      <c r="C275" s="524"/>
      <c r="D275" s="524"/>
      <c r="E275" s="524"/>
      <c r="F275" s="384"/>
      <c r="G275" s="384"/>
      <c r="H275" s="639"/>
      <c r="I275" s="639"/>
      <c r="J275" s="381">
        <f t="shared" si="18"/>
        <v>0</v>
      </c>
      <c r="K275" s="381">
        <f t="shared" si="19"/>
        <v>0</v>
      </c>
      <c r="L275" s="634">
        <f>IFERROR(IF(B275="funkcna poziadavka",VLOOKUP(G275,MODULY_CBA!$B$3:$E$23,4,0)*H275/SUMIFS($H$3:$H$197,$G$3:$G$197,G275,$B$3:$B$197,B275),),)</f>
        <v>0</v>
      </c>
      <c r="M275" s="381">
        <f>IFERROR(IF(B275="Funkcna poziadavka",VLOOKUP(G275,MODULY_CBA!$B$3:$E$23,3,0),),)</f>
        <v>0</v>
      </c>
      <c r="N275" s="381">
        <f>IFERROR(IF(B275="funkcna poziadavka",VLOOKUP(G275,MODULY_CBA!$B$3:$E$23,2,0),),)</f>
        <v>0</v>
      </c>
      <c r="O275" s="380">
        <f t="shared" si="20"/>
        <v>0</v>
      </c>
      <c r="P275" s="379">
        <f>IFERROR(O275*VLOOKUP(G275,MODULY_CBA!$B$3:$F$23,5,0),)</f>
        <v>0</v>
      </c>
      <c r="Q275" s="471" t="str">
        <f>IFERROR(VLOOKUP(G275,MODULY_CBA!$B$3:$I$23,6,0),"")</f>
        <v/>
      </c>
      <c r="R275" s="383"/>
      <c r="S275" s="383"/>
      <c r="T275" s="383"/>
      <c r="U275" s="383"/>
      <c r="V275" s="383"/>
      <c r="W275" s="383"/>
      <c r="X275" s="383"/>
      <c r="Y275" s="383"/>
      <c r="Z275" s="383"/>
      <c r="AA275" s="383"/>
      <c r="AB275" s="383"/>
      <c r="AC275" s="383"/>
      <c r="AD275" s="383"/>
      <c r="AE275" s="383"/>
      <c r="AF275" s="377"/>
    </row>
    <row r="276" spans="1:32">
      <c r="A276" s="393"/>
      <c r="B276" s="393"/>
      <c r="C276" s="524"/>
      <c r="D276" s="524"/>
      <c r="E276" s="524"/>
      <c r="F276" s="384"/>
      <c r="G276" s="384"/>
      <c r="H276" s="639"/>
      <c r="I276" s="639"/>
      <c r="J276" s="381">
        <f t="shared" si="18"/>
        <v>0</v>
      </c>
      <c r="K276" s="381">
        <f t="shared" si="19"/>
        <v>0</v>
      </c>
      <c r="L276" s="634">
        <f>IFERROR(IF(B276="funkcna poziadavka",VLOOKUP(G276,MODULY_CBA!$B$3:$E$23,4,0)*H276/SUMIFS($H$3:$H$197,$G$3:$G$197,G276,$B$3:$B$197,B276),),)</f>
        <v>0</v>
      </c>
      <c r="M276" s="381">
        <f>IFERROR(IF(B276="Funkcna poziadavka",VLOOKUP(G276,MODULY_CBA!$B$3:$E$23,3,0),),)</f>
        <v>0</v>
      </c>
      <c r="N276" s="381">
        <f>IFERROR(IF(B276="funkcna poziadavka",VLOOKUP(G276,MODULY_CBA!$B$3:$E$23,2,0),),)</f>
        <v>0</v>
      </c>
      <c r="O276" s="380">
        <f t="shared" si="20"/>
        <v>0</v>
      </c>
      <c r="P276" s="379">
        <f>IFERROR(O276*VLOOKUP(G276,MODULY_CBA!$B$3:$F$23,5,0),)</f>
        <v>0</v>
      </c>
      <c r="Q276" s="471" t="str">
        <f>IFERROR(VLOOKUP(G276,MODULY_CBA!$B$3:$I$23,6,0),"")</f>
        <v/>
      </c>
      <c r="R276" s="383"/>
      <c r="S276" s="383"/>
      <c r="T276" s="383"/>
      <c r="U276" s="383"/>
      <c r="V276" s="383"/>
      <c r="W276" s="383"/>
      <c r="X276" s="383"/>
      <c r="Y276" s="383"/>
      <c r="Z276" s="383"/>
      <c r="AA276" s="383"/>
      <c r="AB276" s="383"/>
      <c r="AC276" s="383"/>
      <c r="AD276" s="383"/>
      <c r="AE276" s="383"/>
      <c r="AF276" s="377"/>
    </row>
    <row r="277" spans="1:32">
      <c r="A277" s="393"/>
      <c r="B277" s="393"/>
      <c r="C277" s="524"/>
      <c r="D277" s="524"/>
      <c r="E277" s="524"/>
      <c r="F277" s="384"/>
      <c r="G277" s="384"/>
      <c r="H277" s="639"/>
      <c r="I277" s="639"/>
      <c r="J277" s="381">
        <f t="shared" si="18"/>
        <v>0</v>
      </c>
      <c r="K277" s="381">
        <f t="shared" si="19"/>
        <v>0</v>
      </c>
      <c r="L277" s="634">
        <f>IFERROR(IF(B277="funkcna poziadavka",VLOOKUP(G277,MODULY_CBA!$B$3:$E$23,4,0)*H277/SUMIFS($H$3:$H$197,$G$3:$G$197,G277,$B$3:$B$197,B277),),)</f>
        <v>0</v>
      </c>
      <c r="M277" s="381">
        <f>IFERROR(IF(B277="Funkcna poziadavka",VLOOKUP(G277,MODULY_CBA!$B$3:$E$23,3,0),),)</f>
        <v>0</v>
      </c>
      <c r="N277" s="381">
        <f>IFERROR(IF(B277="funkcna poziadavka",VLOOKUP(G277,MODULY_CBA!$B$3:$E$23,2,0),),)</f>
        <v>0</v>
      </c>
      <c r="O277" s="380">
        <f t="shared" si="20"/>
        <v>0</v>
      </c>
      <c r="P277" s="379">
        <f>IFERROR(O277*VLOOKUP(G277,MODULY_CBA!$B$3:$F$23,5,0),)</f>
        <v>0</v>
      </c>
      <c r="Q277" s="471" t="str">
        <f>IFERROR(VLOOKUP(G277,MODULY_CBA!$B$3:$I$23,6,0),"")</f>
        <v/>
      </c>
      <c r="R277" s="383"/>
      <c r="S277" s="383"/>
      <c r="T277" s="383"/>
      <c r="U277" s="383"/>
      <c r="V277" s="383"/>
      <c r="W277" s="383"/>
      <c r="X277" s="383"/>
      <c r="Y277" s="383"/>
      <c r="Z277" s="383"/>
      <c r="AA277" s="383"/>
      <c r="AB277" s="383"/>
      <c r="AC277" s="383"/>
      <c r="AD277" s="383"/>
      <c r="AE277" s="383"/>
      <c r="AF277" s="377"/>
    </row>
    <row r="278" spans="1:32">
      <c r="A278" s="393"/>
      <c r="B278" s="393"/>
      <c r="C278" s="524"/>
      <c r="D278" s="524"/>
      <c r="E278" s="524"/>
      <c r="F278" s="384"/>
      <c r="G278" s="384"/>
      <c r="H278" s="639"/>
      <c r="I278" s="639"/>
      <c r="J278" s="381">
        <f t="shared" si="18"/>
        <v>0</v>
      </c>
      <c r="K278" s="381">
        <f t="shared" si="19"/>
        <v>0</v>
      </c>
      <c r="L278" s="634">
        <f>IFERROR(IF(B278="funkcna poziadavka",VLOOKUP(G278,MODULY_CBA!$B$3:$E$23,4,0)*H278/SUMIFS($H$3:$H$197,$G$3:$G$197,G278,$B$3:$B$197,B278),),)</f>
        <v>0</v>
      </c>
      <c r="M278" s="381">
        <f>IFERROR(IF(B278="Funkcna poziadavka",VLOOKUP(G278,MODULY_CBA!$B$3:$E$23,3,0),),)</f>
        <v>0</v>
      </c>
      <c r="N278" s="381">
        <f>IFERROR(IF(B278="funkcna poziadavka",VLOOKUP(G278,MODULY_CBA!$B$3:$E$23,2,0),),)</f>
        <v>0</v>
      </c>
      <c r="O278" s="380">
        <f t="shared" si="20"/>
        <v>0</v>
      </c>
      <c r="P278" s="379">
        <f>IFERROR(O278*VLOOKUP(G278,MODULY_CBA!$B$3:$F$23,5,0),)</f>
        <v>0</v>
      </c>
      <c r="Q278" s="471" t="str">
        <f>IFERROR(VLOOKUP(G278,MODULY_CBA!$B$3:$I$23,6,0),"")</f>
        <v/>
      </c>
      <c r="R278" s="383"/>
      <c r="S278" s="383"/>
      <c r="T278" s="383"/>
      <c r="U278" s="383"/>
      <c r="V278" s="383"/>
      <c r="W278" s="383"/>
      <c r="X278" s="383"/>
      <c r="Y278" s="383"/>
      <c r="Z278" s="383"/>
      <c r="AA278" s="383"/>
      <c r="AB278" s="383"/>
      <c r="AC278" s="383"/>
      <c r="AD278" s="383"/>
      <c r="AE278" s="383"/>
      <c r="AF278" s="377"/>
    </row>
    <row r="279" spans="1:32">
      <c r="A279" s="393"/>
      <c r="B279" s="393"/>
      <c r="C279" s="524"/>
      <c r="D279" s="524"/>
      <c r="E279" s="524"/>
      <c r="F279" s="384"/>
      <c r="G279" s="384"/>
      <c r="H279" s="639"/>
      <c r="I279" s="639"/>
      <c r="J279" s="381">
        <f t="shared" si="18"/>
        <v>0</v>
      </c>
      <c r="K279" s="381">
        <f t="shared" si="19"/>
        <v>0</v>
      </c>
      <c r="L279" s="634">
        <f>IFERROR(IF(B279="funkcna poziadavka",VLOOKUP(G279,MODULY_CBA!$B$3:$E$23,4,0)*H279/SUMIFS($H$3:$H$197,$G$3:$G$197,G279,$B$3:$B$197,B279),),)</f>
        <v>0</v>
      </c>
      <c r="M279" s="381">
        <f>IFERROR(IF(B279="Funkcna poziadavka",VLOOKUP(G279,MODULY_CBA!$B$3:$E$23,3,0),),)</f>
        <v>0</v>
      </c>
      <c r="N279" s="381">
        <f>IFERROR(IF(B279="funkcna poziadavka",VLOOKUP(G279,MODULY_CBA!$B$3:$E$23,2,0),),)</f>
        <v>0</v>
      </c>
      <c r="O279" s="380">
        <f t="shared" si="20"/>
        <v>0</v>
      </c>
      <c r="P279" s="379">
        <f>IFERROR(O279*VLOOKUP(G279,MODULY_CBA!$B$3:$F$23,5,0),)</f>
        <v>0</v>
      </c>
      <c r="Q279" s="471" t="str">
        <f>IFERROR(VLOOKUP(G279,MODULY_CBA!$B$3:$I$23,6,0),"")</f>
        <v/>
      </c>
      <c r="R279" s="383"/>
      <c r="S279" s="383"/>
      <c r="T279" s="383"/>
      <c r="U279" s="383"/>
      <c r="V279" s="383"/>
      <c r="W279" s="383"/>
      <c r="X279" s="383"/>
      <c r="Y279" s="383"/>
      <c r="Z279" s="383"/>
      <c r="AA279" s="383"/>
      <c r="AB279" s="383"/>
      <c r="AC279" s="383"/>
      <c r="AD279" s="383"/>
      <c r="AE279" s="383"/>
      <c r="AF279" s="377"/>
    </row>
    <row r="280" spans="1:32">
      <c r="A280" s="393"/>
      <c r="B280" s="393"/>
      <c r="C280" s="524"/>
      <c r="D280" s="524"/>
      <c r="E280" s="524"/>
      <c r="F280" s="384"/>
      <c r="G280" s="384"/>
      <c r="H280" s="639"/>
      <c r="I280" s="639"/>
      <c r="J280" s="381">
        <f t="shared" si="18"/>
        <v>0</v>
      </c>
      <c r="K280" s="381">
        <f t="shared" si="19"/>
        <v>0</v>
      </c>
      <c r="L280" s="634">
        <f>IFERROR(IF(B280="funkcna poziadavka",VLOOKUP(G280,MODULY_CBA!$B$3:$E$23,4,0)*H280/SUMIFS($H$3:$H$197,$G$3:$G$197,G280,$B$3:$B$197,B280),),)</f>
        <v>0</v>
      </c>
      <c r="M280" s="381">
        <f>IFERROR(IF(B280="Funkcna poziadavka",VLOOKUP(G280,MODULY_CBA!$B$3:$E$23,3,0),),)</f>
        <v>0</v>
      </c>
      <c r="N280" s="381">
        <f>IFERROR(IF(B280="funkcna poziadavka",VLOOKUP(G280,MODULY_CBA!$B$3:$E$23,2,0),),)</f>
        <v>0</v>
      </c>
      <c r="O280" s="380">
        <f t="shared" si="20"/>
        <v>0</v>
      </c>
      <c r="P280" s="379">
        <f>IFERROR(O280*VLOOKUP(G280,MODULY_CBA!$B$3:$F$23,5,0),)</f>
        <v>0</v>
      </c>
      <c r="Q280" s="471" t="str">
        <f>IFERROR(VLOOKUP(G280,MODULY_CBA!$B$3:$I$23,6,0),"")</f>
        <v/>
      </c>
      <c r="R280" s="383"/>
      <c r="S280" s="383"/>
      <c r="T280" s="383"/>
      <c r="U280" s="383"/>
      <c r="V280" s="383"/>
      <c r="W280" s="383"/>
      <c r="X280" s="383"/>
      <c r="Y280" s="383"/>
      <c r="Z280" s="383"/>
      <c r="AA280" s="383"/>
      <c r="AB280" s="383"/>
      <c r="AC280" s="383"/>
      <c r="AD280" s="383"/>
      <c r="AE280" s="383"/>
      <c r="AF280" s="377"/>
    </row>
    <row r="281" spans="1:32">
      <c r="A281" s="393"/>
      <c r="B281" s="393"/>
      <c r="C281" s="524"/>
      <c r="D281" s="524"/>
      <c r="E281" s="524"/>
      <c r="F281" s="384"/>
      <c r="G281" s="384"/>
      <c r="H281" s="639"/>
      <c r="I281" s="639"/>
      <c r="J281" s="381">
        <f t="shared" si="18"/>
        <v>0</v>
      </c>
      <c r="K281" s="381">
        <f t="shared" si="19"/>
        <v>0</v>
      </c>
      <c r="L281" s="634">
        <f>IFERROR(IF(B281="funkcna poziadavka",VLOOKUP(G281,MODULY_CBA!$B$3:$E$23,4,0)*H281/SUMIFS($H$3:$H$197,$G$3:$G$197,G281,$B$3:$B$197,B281),),)</f>
        <v>0</v>
      </c>
      <c r="M281" s="381">
        <f>IFERROR(IF(B281="Funkcna poziadavka",VLOOKUP(G281,MODULY_CBA!$B$3:$E$23,3,0),),)</f>
        <v>0</v>
      </c>
      <c r="N281" s="381">
        <f>IFERROR(IF(B281="funkcna poziadavka",VLOOKUP(G281,MODULY_CBA!$B$3:$E$23,2,0),),)</f>
        <v>0</v>
      </c>
      <c r="O281" s="380">
        <f t="shared" si="20"/>
        <v>0</v>
      </c>
      <c r="P281" s="379">
        <f>IFERROR(O281*VLOOKUP(G281,MODULY_CBA!$B$3:$F$23,5,0),)</f>
        <v>0</v>
      </c>
      <c r="Q281" s="471" t="str">
        <f>IFERROR(VLOOKUP(G281,MODULY_CBA!$B$3:$I$23,6,0),"")</f>
        <v/>
      </c>
      <c r="R281" s="383"/>
      <c r="S281" s="383"/>
      <c r="T281" s="383"/>
      <c r="U281" s="383"/>
      <c r="V281" s="383"/>
      <c r="W281" s="383"/>
      <c r="X281" s="383"/>
      <c r="Y281" s="383"/>
      <c r="Z281" s="383"/>
      <c r="AA281" s="383"/>
      <c r="AB281" s="383"/>
      <c r="AC281" s="383"/>
      <c r="AD281" s="383"/>
      <c r="AE281" s="383"/>
      <c r="AF281" s="377"/>
    </row>
    <row r="282" spans="1:32">
      <c r="A282" s="393"/>
      <c r="B282" s="393"/>
      <c r="C282" s="524"/>
      <c r="D282" s="524"/>
      <c r="E282" s="524"/>
      <c r="F282" s="384"/>
      <c r="G282" s="384"/>
      <c r="H282" s="639"/>
      <c r="I282" s="639"/>
      <c r="J282" s="381">
        <f t="shared" si="18"/>
        <v>0</v>
      </c>
      <c r="K282" s="381">
        <f t="shared" si="19"/>
        <v>0</v>
      </c>
      <c r="L282" s="634">
        <f>IFERROR(IF(B282="funkcna poziadavka",VLOOKUP(G282,MODULY_CBA!$B$3:$E$23,4,0)*H282/SUMIFS($H$3:$H$197,$G$3:$G$197,G282,$B$3:$B$197,B282),),)</f>
        <v>0</v>
      </c>
      <c r="M282" s="381">
        <f>IFERROR(IF(B282="Funkcna poziadavka",VLOOKUP(G282,MODULY_CBA!$B$3:$E$23,3,0),),)</f>
        <v>0</v>
      </c>
      <c r="N282" s="381">
        <f>IFERROR(IF(B282="funkcna poziadavka",VLOOKUP(G282,MODULY_CBA!$B$3:$E$23,2,0),),)</f>
        <v>0</v>
      </c>
      <c r="O282" s="380">
        <f t="shared" si="20"/>
        <v>0</v>
      </c>
      <c r="P282" s="379">
        <f>IFERROR(O282*VLOOKUP(G282,MODULY_CBA!$B$3:$F$23,5,0),)</f>
        <v>0</v>
      </c>
      <c r="Q282" s="471" t="str">
        <f>IFERROR(VLOOKUP(G282,MODULY_CBA!$B$3:$I$23,6,0),"")</f>
        <v/>
      </c>
      <c r="R282" s="383"/>
      <c r="S282" s="383"/>
      <c r="T282" s="383"/>
      <c r="U282" s="383"/>
      <c r="V282" s="383"/>
      <c r="W282" s="383"/>
      <c r="X282" s="383"/>
      <c r="Y282" s="383"/>
      <c r="Z282" s="383"/>
      <c r="AA282" s="383"/>
      <c r="AB282" s="383"/>
      <c r="AC282" s="383"/>
      <c r="AD282" s="383"/>
      <c r="AE282" s="383"/>
      <c r="AF282" s="377"/>
    </row>
    <row r="283" spans="1:32">
      <c r="A283" s="393"/>
      <c r="B283" s="393"/>
      <c r="C283" s="524"/>
      <c r="D283" s="524"/>
      <c r="E283" s="524"/>
      <c r="F283" s="384"/>
      <c r="G283" s="384"/>
      <c r="H283" s="639"/>
      <c r="I283" s="639"/>
      <c r="J283" s="381">
        <f t="shared" si="18"/>
        <v>0</v>
      </c>
      <c r="K283" s="381">
        <f t="shared" si="19"/>
        <v>0</v>
      </c>
      <c r="L283" s="634">
        <f>IFERROR(IF(B283="funkcna poziadavka",VLOOKUP(G283,MODULY_CBA!$B$3:$E$23,4,0)*H283/SUMIFS($H$3:$H$197,$G$3:$G$197,G283,$B$3:$B$197,B283),),)</f>
        <v>0</v>
      </c>
      <c r="M283" s="381">
        <f>IFERROR(IF(B283="Funkcna poziadavka",VLOOKUP(G283,MODULY_CBA!$B$3:$E$23,3,0),),)</f>
        <v>0</v>
      </c>
      <c r="N283" s="381">
        <f>IFERROR(IF(B283="funkcna poziadavka",VLOOKUP(G283,MODULY_CBA!$B$3:$E$23,2,0),),)</f>
        <v>0</v>
      </c>
      <c r="O283" s="380">
        <f t="shared" si="20"/>
        <v>0</v>
      </c>
      <c r="P283" s="379">
        <f>IFERROR(O283*VLOOKUP(G283,MODULY_CBA!$B$3:$F$23,5,0),)</f>
        <v>0</v>
      </c>
      <c r="Q283" s="471" t="str">
        <f>IFERROR(VLOOKUP(G283,MODULY_CBA!$B$3:$I$23,6,0),"")</f>
        <v/>
      </c>
      <c r="R283" s="383"/>
      <c r="S283" s="383"/>
      <c r="T283" s="383"/>
      <c r="U283" s="383"/>
      <c r="V283" s="383"/>
      <c r="W283" s="383"/>
      <c r="X283" s="383"/>
      <c r="Y283" s="383"/>
      <c r="Z283" s="383"/>
      <c r="AA283" s="383"/>
      <c r="AB283" s="383"/>
      <c r="AC283" s="383"/>
      <c r="AD283" s="383"/>
      <c r="AE283" s="383"/>
      <c r="AF283" s="377"/>
    </row>
    <row r="284" spans="1:32">
      <c r="A284" s="393"/>
      <c r="B284" s="393"/>
      <c r="C284" s="524"/>
      <c r="D284" s="524"/>
      <c r="E284" s="524"/>
      <c r="F284" s="384"/>
      <c r="G284" s="384"/>
      <c r="H284" s="639"/>
      <c r="I284" s="639"/>
      <c r="J284" s="381">
        <f t="shared" si="18"/>
        <v>0</v>
      </c>
      <c r="K284" s="381">
        <f t="shared" si="19"/>
        <v>0</v>
      </c>
      <c r="L284" s="634">
        <f>IFERROR(IF(B284="funkcna poziadavka",VLOOKUP(G284,MODULY_CBA!$B$3:$E$23,4,0)*H284/SUMIFS($H$3:$H$197,$G$3:$G$197,G284,$B$3:$B$197,B284),),)</f>
        <v>0</v>
      </c>
      <c r="M284" s="381">
        <f>IFERROR(IF(B284="Funkcna poziadavka",VLOOKUP(G284,MODULY_CBA!$B$3:$E$23,3,0),),)</f>
        <v>0</v>
      </c>
      <c r="N284" s="381">
        <f>IFERROR(IF(B284="funkcna poziadavka",VLOOKUP(G284,MODULY_CBA!$B$3:$E$23,2,0),),)</f>
        <v>0</v>
      </c>
      <c r="O284" s="380">
        <f t="shared" si="20"/>
        <v>0</v>
      </c>
      <c r="P284" s="379">
        <f>IFERROR(O284*VLOOKUP(G284,MODULY_CBA!$B$3:$F$23,5,0),)</f>
        <v>0</v>
      </c>
      <c r="Q284" s="471" t="str">
        <f>IFERROR(VLOOKUP(G284,MODULY_CBA!$B$3:$I$23,6,0),"")</f>
        <v/>
      </c>
      <c r="R284" s="383"/>
      <c r="S284" s="383"/>
      <c r="T284" s="383"/>
      <c r="U284" s="383"/>
      <c r="V284" s="383"/>
      <c r="W284" s="383"/>
      <c r="X284" s="383"/>
      <c r="Y284" s="383"/>
      <c r="Z284" s="383"/>
      <c r="AA284" s="383"/>
      <c r="AB284" s="383"/>
      <c r="AC284" s="383"/>
      <c r="AD284" s="383"/>
      <c r="AE284" s="383"/>
      <c r="AF284" s="377"/>
    </row>
    <row r="285" spans="1:32">
      <c r="A285" s="393"/>
      <c r="B285" s="393"/>
      <c r="C285" s="524"/>
      <c r="D285" s="524"/>
      <c r="E285" s="524"/>
      <c r="F285" s="384"/>
      <c r="G285" s="384"/>
      <c r="H285" s="639"/>
      <c r="I285" s="639"/>
      <c r="J285" s="381">
        <f t="shared" si="18"/>
        <v>0</v>
      </c>
      <c r="K285" s="381">
        <f t="shared" si="19"/>
        <v>0</v>
      </c>
      <c r="L285" s="634">
        <f>IFERROR(IF(B285="funkcna poziadavka",VLOOKUP(G285,MODULY_CBA!$B$3:$E$23,4,0)*H285/SUMIFS($H$3:$H$197,$G$3:$G$197,G285,$B$3:$B$197,B285),),)</f>
        <v>0</v>
      </c>
      <c r="M285" s="381">
        <f>IFERROR(IF(B285="Funkcna poziadavka",VLOOKUP(G285,MODULY_CBA!$B$3:$E$23,3,0),),)</f>
        <v>0</v>
      </c>
      <c r="N285" s="381">
        <f>IFERROR(IF(B285="funkcna poziadavka",VLOOKUP(G285,MODULY_CBA!$B$3:$E$23,2,0),),)</f>
        <v>0</v>
      </c>
      <c r="O285" s="380">
        <f t="shared" si="20"/>
        <v>0</v>
      </c>
      <c r="P285" s="379">
        <f>IFERROR(O285*VLOOKUP(G285,MODULY_CBA!$B$3:$F$23,5,0),)</f>
        <v>0</v>
      </c>
      <c r="Q285" s="471" t="str">
        <f>IFERROR(VLOOKUP(G285,MODULY_CBA!$B$3:$I$23,6,0),"")</f>
        <v/>
      </c>
      <c r="R285" s="383"/>
      <c r="S285" s="383"/>
      <c r="T285" s="383"/>
      <c r="U285" s="383"/>
      <c r="V285" s="383"/>
      <c r="W285" s="383"/>
      <c r="X285" s="383"/>
      <c r="Y285" s="383"/>
      <c r="Z285" s="383"/>
      <c r="AA285" s="383"/>
      <c r="AB285" s="383"/>
      <c r="AC285" s="383"/>
      <c r="AD285" s="383"/>
      <c r="AE285" s="383"/>
      <c r="AF285" s="377"/>
    </row>
    <row r="286" spans="1:32">
      <c r="A286" s="393"/>
      <c r="B286" s="393"/>
      <c r="C286" s="524"/>
      <c r="D286" s="524"/>
      <c r="E286" s="524"/>
      <c r="F286" s="384"/>
      <c r="G286" s="384"/>
      <c r="H286" s="639"/>
      <c r="I286" s="639"/>
      <c r="J286" s="381">
        <f t="shared" si="18"/>
        <v>0</v>
      </c>
      <c r="K286" s="381">
        <f t="shared" si="19"/>
        <v>0</v>
      </c>
      <c r="L286" s="634">
        <f>IFERROR(IF(B286="funkcna poziadavka",VLOOKUP(G286,MODULY_CBA!$B$3:$E$23,4,0)*H286/SUMIFS($H$3:$H$197,$G$3:$G$197,G286,$B$3:$B$197,B286),),)</f>
        <v>0</v>
      </c>
      <c r="M286" s="381">
        <f>IFERROR(IF(B286="Funkcna poziadavka",VLOOKUP(G286,MODULY_CBA!$B$3:$E$23,3,0),),)</f>
        <v>0</v>
      </c>
      <c r="N286" s="381">
        <f>IFERROR(IF(B286="funkcna poziadavka",VLOOKUP(G286,MODULY_CBA!$B$3:$E$23,2,0),),)</f>
        <v>0</v>
      </c>
      <c r="O286" s="380">
        <f t="shared" si="20"/>
        <v>0</v>
      </c>
      <c r="P286" s="379">
        <f>IFERROR(O286*VLOOKUP(G286,MODULY_CBA!$B$3:$F$23,5,0),)</f>
        <v>0</v>
      </c>
      <c r="Q286" s="471" t="str">
        <f>IFERROR(VLOOKUP(G286,MODULY_CBA!$B$3:$I$23,6,0),"")</f>
        <v/>
      </c>
      <c r="R286" s="383"/>
      <c r="S286" s="383"/>
      <c r="T286" s="383"/>
      <c r="U286" s="383"/>
      <c r="V286" s="383"/>
      <c r="W286" s="383"/>
      <c r="X286" s="383"/>
      <c r="Y286" s="383"/>
      <c r="Z286" s="383"/>
      <c r="AA286" s="383"/>
      <c r="AB286" s="383"/>
      <c r="AC286" s="383"/>
      <c r="AD286" s="383"/>
      <c r="AE286" s="383"/>
      <c r="AF286" s="377"/>
    </row>
    <row r="287" spans="1:32">
      <c r="A287" s="393"/>
      <c r="B287" s="393"/>
      <c r="C287" s="524"/>
      <c r="D287" s="524"/>
      <c r="E287" s="524"/>
      <c r="F287" s="384"/>
      <c r="G287" s="384"/>
      <c r="H287" s="639"/>
      <c r="I287" s="639"/>
      <c r="J287" s="381">
        <f t="shared" si="18"/>
        <v>0</v>
      </c>
      <c r="K287" s="381">
        <f t="shared" si="19"/>
        <v>0</v>
      </c>
      <c r="L287" s="634">
        <f>IFERROR(IF(B287="funkcna poziadavka",VLOOKUP(G287,MODULY_CBA!$B$3:$E$23,4,0)*H287/SUMIFS($H$3:$H$197,$G$3:$G$197,G287,$B$3:$B$197,B287),),)</f>
        <v>0</v>
      </c>
      <c r="M287" s="381">
        <f>IFERROR(IF(B287="Funkcna poziadavka",VLOOKUP(G287,MODULY_CBA!$B$3:$E$23,3,0),),)</f>
        <v>0</v>
      </c>
      <c r="N287" s="381">
        <f>IFERROR(IF(B287="funkcna poziadavka",VLOOKUP(G287,MODULY_CBA!$B$3:$E$23,2,0),),)</f>
        <v>0</v>
      </c>
      <c r="O287" s="380">
        <f t="shared" si="20"/>
        <v>0</v>
      </c>
      <c r="P287" s="379">
        <f>IFERROR(O287*VLOOKUP(G287,MODULY_CBA!$B$3:$F$23,5,0),)</f>
        <v>0</v>
      </c>
      <c r="Q287" s="471" t="str">
        <f>IFERROR(VLOOKUP(G287,MODULY_CBA!$B$3:$I$23,6,0),"")</f>
        <v/>
      </c>
      <c r="R287" s="383"/>
      <c r="S287" s="383"/>
      <c r="T287" s="383"/>
      <c r="U287" s="383"/>
      <c r="V287" s="383"/>
      <c r="W287" s="383"/>
      <c r="X287" s="383"/>
      <c r="Y287" s="383"/>
      <c r="Z287" s="383"/>
      <c r="AA287" s="383"/>
      <c r="AB287" s="383"/>
      <c r="AC287" s="383"/>
      <c r="AD287" s="383"/>
      <c r="AE287" s="383"/>
      <c r="AF287" s="377"/>
    </row>
    <row r="288" spans="1:32">
      <c r="A288" s="393"/>
      <c r="B288" s="393"/>
      <c r="C288" s="524"/>
      <c r="D288" s="524"/>
      <c r="E288" s="524"/>
      <c r="F288" s="384"/>
      <c r="G288" s="384"/>
      <c r="H288" s="639"/>
      <c r="I288" s="639"/>
      <c r="J288" s="381">
        <f t="shared" si="18"/>
        <v>0</v>
      </c>
      <c r="K288" s="381">
        <f t="shared" si="19"/>
        <v>0</v>
      </c>
      <c r="L288" s="634">
        <f>IFERROR(IF(B288="funkcna poziadavka",VLOOKUP(G288,MODULY_CBA!$B$3:$E$23,4,0)*H288/SUMIFS($H$3:$H$197,$G$3:$G$197,G288,$B$3:$B$197,B288),),)</f>
        <v>0</v>
      </c>
      <c r="M288" s="381">
        <f>IFERROR(IF(B288="Funkcna poziadavka",VLOOKUP(G288,MODULY_CBA!$B$3:$E$23,3,0),),)</f>
        <v>0</v>
      </c>
      <c r="N288" s="381">
        <f>IFERROR(IF(B288="funkcna poziadavka",VLOOKUP(G288,MODULY_CBA!$B$3:$E$23,2,0),),)</f>
        <v>0</v>
      </c>
      <c r="O288" s="380">
        <f t="shared" si="20"/>
        <v>0</v>
      </c>
      <c r="P288" s="379">
        <f>IFERROR(O288*VLOOKUP(G288,MODULY_CBA!$B$3:$F$23,5,0),)</f>
        <v>0</v>
      </c>
      <c r="Q288" s="471" t="str">
        <f>IFERROR(VLOOKUP(G288,MODULY_CBA!$B$3:$I$23,6,0),"")</f>
        <v/>
      </c>
      <c r="R288" s="383"/>
      <c r="S288" s="383"/>
      <c r="T288" s="383"/>
      <c r="U288" s="383"/>
      <c r="V288" s="383"/>
      <c r="W288" s="383"/>
      <c r="X288" s="383"/>
      <c r="Y288" s="383"/>
      <c r="Z288" s="383"/>
      <c r="AA288" s="383"/>
      <c r="AB288" s="383"/>
      <c r="AC288" s="383"/>
      <c r="AD288" s="383"/>
      <c r="AE288" s="383"/>
      <c r="AF288" s="377"/>
    </row>
    <row r="289" spans="1:32">
      <c r="A289" s="393"/>
      <c r="B289" s="393"/>
      <c r="C289" s="524"/>
      <c r="D289" s="524"/>
      <c r="E289" s="524"/>
      <c r="F289" s="384"/>
      <c r="G289" s="384"/>
      <c r="H289" s="639"/>
      <c r="I289" s="639"/>
      <c r="J289" s="381">
        <f t="shared" si="18"/>
        <v>0</v>
      </c>
      <c r="K289" s="381">
        <f t="shared" si="19"/>
        <v>0</v>
      </c>
      <c r="L289" s="634">
        <f>IFERROR(IF(B289="funkcna poziadavka",VLOOKUP(G289,MODULY_CBA!$B$3:$E$23,4,0)*H289/SUMIFS($H$3:$H$197,$G$3:$G$197,G289,$B$3:$B$197,B289),),)</f>
        <v>0</v>
      </c>
      <c r="M289" s="381">
        <f>IFERROR(IF(B289="Funkcna poziadavka",VLOOKUP(G289,MODULY_CBA!$B$3:$E$23,3,0),),)</f>
        <v>0</v>
      </c>
      <c r="N289" s="381">
        <f>IFERROR(IF(B289="funkcna poziadavka",VLOOKUP(G289,MODULY_CBA!$B$3:$E$23,2,0),),)</f>
        <v>0</v>
      </c>
      <c r="O289" s="380">
        <f t="shared" si="20"/>
        <v>0</v>
      </c>
      <c r="P289" s="379">
        <f>IFERROR(O289*VLOOKUP(G289,MODULY_CBA!$B$3:$F$23,5,0),)</f>
        <v>0</v>
      </c>
      <c r="Q289" s="471" t="str">
        <f>IFERROR(VLOOKUP(G289,MODULY_CBA!$B$3:$I$23,6,0),"")</f>
        <v/>
      </c>
      <c r="R289" s="383"/>
      <c r="S289" s="383"/>
      <c r="T289" s="383"/>
      <c r="U289" s="383"/>
      <c r="V289" s="383"/>
      <c r="W289" s="383"/>
      <c r="X289" s="383"/>
      <c r="Y289" s="383"/>
      <c r="Z289" s="383"/>
      <c r="AA289" s="383"/>
      <c r="AB289" s="383"/>
      <c r="AC289" s="383"/>
      <c r="AD289" s="383"/>
      <c r="AE289" s="383"/>
      <c r="AF289" s="377"/>
    </row>
    <row r="290" spans="1:32">
      <c r="A290" s="393"/>
      <c r="B290" s="393"/>
      <c r="C290" s="524"/>
      <c r="D290" s="524"/>
      <c r="E290" s="524"/>
      <c r="F290" s="384"/>
      <c r="G290" s="384"/>
      <c r="H290" s="639"/>
      <c r="I290" s="639"/>
      <c r="J290" s="381">
        <f t="shared" si="18"/>
        <v>0</v>
      </c>
      <c r="K290" s="381">
        <f t="shared" si="19"/>
        <v>0</v>
      </c>
      <c r="L290" s="634">
        <f>IFERROR(IF(B290="funkcna poziadavka",VLOOKUP(G290,MODULY_CBA!$B$3:$E$23,4,0)*H290/SUMIFS($H$3:$H$197,$G$3:$G$197,G290,$B$3:$B$197,B290),),)</f>
        <v>0</v>
      </c>
      <c r="M290" s="381">
        <f>IFERROR(IF(B290="Funkcna poziadavka",VLOOKUP(G290,MODULY_CBA!$B$3:$E$23,3,0),),)</f>
        <v>0</v>
      </c>
      <c r="N290" s="381">
        <f>IFERROR(IF(B290="funkcna poziadavka",VLOOKUP(G290,MODULY_CBA!$B$3:$E$23,2,0),),)</f>
        <v>0</v>
      </c>
      <c r="O290" s="380">
        <f t="shared" si="20"/>
        <v>0</v>
      </c>
      <c r="P290" s="379">
        <f>IFERROR(O290*VLOOKUP(G290,MODULY_CBA!$B$3:$F$23,5,0),)</f>
        <v>0</v>
      </c>
      <c r="Q290" s="471" t="str">
        <f>IFERROR(VLOOKUP(G290,MODULY_CBA!$B$3:$I$23,6,0),"")</f>
        <v/>
      </c>
      <c r="R290" s="383"/>
      <c r="S290" s="383"/>
      <c r="T290" s="383"/>
      <c r="U290" s="383"/>
      <c r="V290" s="383"/>
      <c r="W290" s="383"/>
      <c r="X290" s="383"/>
      <c r="Y290" s="383"/>
      <c r="Z290" s="383"/>
      <c r="AA290" s="383"/>
      <c r="AB290" s="383"/>
      <c r="AC290" s="383"/>
      <c r="AD290" s="383"/>
      <c r="AE290" s="383"/>
      <c r="AF290" s="377"/>
    </row>
    <row r="291" spans="1:32">
      <c r="A291" s="393"/>
      <c r="B291" s="393"/>
      <c r="C291" s="524"/>
      <c r="D291" s="524"/>
      <c r="E291" s="524"/>
      <c r="F291" s="384"/>
      <c r="G291" s="384"/>
      <c r="H291" s="639"/>
      <c r="I291" s="639"/>
      <c r="J291" s="381">
        <f t="shared" si="18"/>
        <v>0</v>
      </c>
      <c r="K291" s="381">
        <f t="shared" si="19"/>
        <v>0</v>
      </c>
      <c r="L291" s="634">
        <f>IFERROR(IF(B291="funkcna poziadavka",VLOOKUP(G291,MODULY_CBA!$B$3:$E$23,4,0)*H291/SUMIFS($H$3:$H$197,$G$3:$G$197,G291,$B$3:$B$197,B291),),)</f>
        <v>0</v>
      </c>
      <c r="M291" s="381">
        <f>IFERROR(IF(B291="Funkcna poziadavka",VLOOKUP(G291,MODULY_CBA!$B$3:$E$23,3,0),),)</f>
        <v>0</v>
      </c>
      <c r="N291" s="381">
        <f>IFERROR(IF(B291="funkcna poziadavka",VLOOKUP(G291,MODULY_CBA!$B$3:$E$23,2,0),),)</f>
        <v>0</v>
      </c>
      <c r="O291" s="380">
        <f t="shared" si="20"/>
        <v>0</v>
      </c>
      <c r="P291" s="379">
        <f>IFERROR(O291*VLOOKUP(G291,MODULY_CBA!$B$3:$F$23,5,0),)</f>
        <v>0</v>
      </c>
      <c r="Q291" s="471" t="str">
        <f>IFERROR(VLOOKUP(G291,MODULY_CBA!$B$3:$I$23,6,0),"")</f>
        <v/>
      </c>
      <c r="R291" s="383"/>
      <c r="S291" s="383"/>
      <c r="T291" s="383"/>
      <c r="U291" s="383"/>
      <c r="V291" s="383"/>
      <c r="W291" s="383"/>
      <c r="X291" s="383"/>
      <c r="Y291" s="383"/>
      <c r="Z291" s="383"/>
      <c r="AA291" s="383"/>
      <c r="AB291" s="383"/>
      <c r="AC291" s="383"/>
      <c r="AD291" s="383"/>
      <c r="AE291" s="383"/>
      <c r="AF291" s="377"/>
    </row>
    <row r="292" spans="1:32">
      <c r="A292" s="393"/>
      <c r="B292" s="393"/>
      <c r="C292" s="524"/>
      <c r="D292" s="524"/>
      <c r="E292" s="524"/>
      <c r="F292" s="384"/>
      <c r="G292" s="384"/>
      <c r="H292" s="639"/>
      <c r="I292" s="639"/>
      <c r="J292" s="381">
        <f t="shared" si="18"/>
        <v>0</v>
      </c>
      <c r="K292" s="381">
        <f t="shared" si="19"/>
        <v>0</v>
      </c>
      <c r="L292" s="634">
        <f>IFERROR(IF(B292="funkcna poziadavka",VLOOKUP(G292,MODULY_CBA!$B$3:$E$23,4,0)*H292/SUMIFS($H$3:$H$197,$G$3:$G$197,G292,$B$3:$B$197,B292),),)</f>
        <v>0</v>
      </c>
      <c r="M292" s="381">
        <f>IFERROR(IF(B292="Funkcna poziadavka",VLOOKUP(G292,MODULY_CBA!$B$3:$E$23,3,0),),)</f>
        <v>0</v>
      </c>
      <c r="N292" s="381">
        <f>IFERROR(IF(B292="funkcna poziadavka",VLOOKUP(G292,MODULY_CBA!$B$3:$E$23,2,0),),)</f>
        <v>0</v>
      </c>
      <c r="O292" s="380">
        <f t="shared" si="20"/>
        <v>0</v>
      </c>
      <c r="P292" s="379">
        <f>IFERROR(O292*VLOOKUP(G292,MODULY_CBA!$B$3:$F$23,5,0),)</f>
        <v>0</v>
      </c>
      <c r="Q292" s="471" t="str">
        <f>IFERROR(VLOOKUP(G292,MODULY_CBA!$B$3:$I$23,6,0),"")</f>
        <v/>
      </c>
      <c r="R292" s="383"/>
      <c r="S292" s="383"/>
      <c r="T292" s="383"/>
      <c r="U292" s="383"/>
      <c r="V292" s="383"/>
      <c r="W292" s="383"/>
      <c r="X292" s="383"/>
      <c r="Y292" s="383"/>
      <c r="Z292" s="383"/>
      <c r="AA292" s="383"/>
      <c r="AB292" s="383"/>
      <c r="AC292" s="383"/>
      <c r="AD292" s="383"/>
      <c r="AE292" s="383"/>
      <c r="AF292" s="377"/>
    </row>
    <row r="293" spans="1:32">
      <c r="A293" s="393"/>
      <c r="B293" s="393"/>
      <c r="C293" s="524"/>
      <c r="D293" s="524"/>
      <c r="E293" s="524"/>
      <c r="F293" s="384"/>
      <c r="G293" s="384"/>
      <c r="H293" s="639"/>
      <c r="I293" s="639"/>
      <c r="J293" s="381">
        <f t="shared" si="18"/>
        <v>0</v>
      </c>
      <c r="K293" s="381">
        <f t="shared" si="19"/>
        <v>0</v>
      </c>
      <c r="L293" s="634">
        <f>IFERROR(IF(B293="funkcna poziadavka",VLOOKUP(G293,MODULY_CBA!$B$3:$E$23,4,0)*H293/SUMIFS($H$3:$H$197,$G$3:$G$197,G293,$B$3:$B$197,B293),),)</f>
        <v>0</v>
      </c>
      <c r="M293" s="381">
        <f>IFERROR(IF(B293="Funkcna poziadavka",VLOOKUP(G293,MODULY_CBA!$B$3:$E$23,3,0),),)</f>
        <v>0</v>
      </c>
      <c r="N293" s="381">
        <f>IFERROR(IF(B293="funkcna poziadavka",VLOOKUP(G293,MODULY_CBA!$B$3:$E$23,2,0),),)</f>
        <v>0</v>
      </c>
      <c r="O293" s="380">
        <f t="shared" si="20"/>
        <v>0</v>
      </c>
      <c r="P293" s="379">
        <f>IFERROR(O293*VLOOKUP(G293,MODULY_CBA!$B$3:$F$23,5,0),)</f>
        <v>0</v>
      </c>
      <c r="Q293" s="471" t="str">
        <f>IFERROR(VLOOKUP(G293,MODULY_CBA!$B$3:$I$23,6,0),"")</f>
        <v/>
      </c>
      <c r="R293" s="383"/>
      <c r="S293" s="383"/>
      <c r="T293" s="383"/>
      <c r="U293" s="383"/>
      <c r="V293" s="383"/>
      <c r="W293" s="383"/>
      <c r="X293" s="383"/>
      <c r="Y293" s="383"/>
      <c r="Z293" s="383"/>
      <c r="AA293" s="383"/>
      <c r="AB293" s="383"/>
      <c r="AC293" s="383"/>
      <c r="AD293" s="383"/>
      <c r="AE293" s="383"/>
      <c r="AF293" s="377"/>
    </row>
    <row r="294" spans="1:32">
      <c r="A294" s="393"/>
      <c r="B294" s="393"/>
      <c r="C294" s="524"/>
      <c r="D294" s="524"/>
      <c r="E294" s="524"/>
      <c r="F294" s="384"/>
      <c r="G294" s="384"/>
      <c r="H294" s="639"/>
      <c r="I294" s="639"/>
      <c r="J294" s="381">
        <f t="shared" si="18"/>
        <v>0</v>
      </c>
      <c r="K294" s="381">
        <f t="shared" si="19"/>
        <v>0</v>
      </c>
      <c r="L294" s="634">
        <f>IFERROR(IF(B294="funkcna poziadavka",VLOOKUP(G294,MODULY_CBA!$B$3:$E$23,4,0)*H294/SUMIFS($H$3:$H$197,$G$3:$G$197,G294,$B$3:$B$197,B294),),)</f>
        <v>0</v>
      </c>
      <c r="M294" s="381">
        <f>IFERROR(IF(B294="Funkcna poziadavka",VLOOKUP(G294,MODULY_CBA!$B$3:$E$23,3,0),),)</f>
        <v>0</v>
      </c>
      <c r="N294" s="381">
        <f>IFERROR(IF(B294="funkcna poziadavka",VLOOKUP(G294,MODULY_CBA!$B$3:$E$23,2,0),),)</f>
        <v>0</v>
      </c>
      <c r="O294" s="380">
        <f t="shared" si="20"/>
        <v>0</v>
      </c>
      <c r="P294" s="379">
        <f>IFERROR(O294*VLOOKUP(G294,MODULY_CBA!$B$3:$F$23,5,0),)</f>
        <v>0</v>
      </c>
      <c r="Q294" s="471" t="str">
        <f>IFERROR(VLOOKUP(G294,MODULY_CBA!$B$3:$I$23,6,0),"")</f>
        <v/>
      </c>
      <c r="R294" s="383"/>
      <c r="S294" s="383"/>
      <c r="T294" s="383"/>
      <c r="U294" s="383"/>
      <c r="V294" s="383"/>
      <c r="W294" s="383"/>
      <c r="X294" s="383"/>
      <c r="Y294" s="383"/>
      <c r="Z294" s="383"/>
      <c r="AA294" s="383"/>
      <c r="AB294" s="383"/>
      <c r="AC294" s="383"/>
      <c r="AD294" s="383"/>
      <c r="AE294" s="383"/>
      <c r="AF294" s="377"/>
    </row>
    <row r="295" spans="1:32">
      <c r="A295" s="393"/>
      <c r="B295" s="393"/>
      <c r="C295" s="524"/>
      <c r="D295" s="524"/>
      <c r="E295" s="524"/>
      <c r="F295" s="384"/>
      <c r="G295" s="384"/>
      <c r="H295" s="639"/>
      <c r="I295" s="639"/>
      <c r="J295" s="381">
        <f t="shared" si="18"/>
        <v>0</v>
      </c>
      <c r="K295" s="381">
        <f t="shared" si="19"/>
        <v>0</v>
      </c>
      <c r="L295" s="634">
        <f>IFERROR(IF(B295="funkcna poziadavka",VLOOKUP(G295,MODULY_CBA!$B$3:$E$23,4,0)*H295/SUMIFS($H$3:$H$197,$G$3:$G$197,G295,$B$3:$B$197,B295),),)</f>
        <v>0</v>
      </c>
      <c r="M295" s="381">
        <f>IFERROR(IF(B295="Funkcna poziadavka",VLOOKUP(G295,MODULY_CBA!$B$3:$E$23,3,0),),)</f>
        <v>0</v>
      </c>
      <c r="N295" s="381">
        <f>IFERROR(IF(B295="funkcna poziadavka",VLOOKUP(G295,MODULY_CBA!$B$3:$E$23,2,0),),)</f>
        <v>0</v>
      </c>
      <c r="O295" s="380">
        <f t="shared" si="20"/>
        <v>0</v>
      </c>
      <c r="P295" s="379">
        <f>IFERROR(O295*VLOOKUP(G295,MODULY_CBA!$B$3:$F$23,5,0),)</f>
        <v>0</v>
      </c>
      <c r="Q295" s="471" t="str">
        <f>IFERROR(VLOOKUP(G295,MODULY_CBA!$B$3:$I$23,6,0),"")</f>
        <v/>
      </c>
      <c r="R295" s="383"/>
      <c r="S295" s="383"/>
      <c r="T295" s="383"/>
      <c r="U295" s="383"/>
      <c r="V295" s="383"/>
      <c r="W295" s="383"/>
      <c r="X295" s="383"/>
      <c r="Y295" s="383"/>
      <c r="Z295" s="383"/>
      <c r="AA295" s="383"/>
      <c r="AB295" s="383"/>
      <c r="AC295" s="383"/>
      <c r="AD295" s="383"/>
      <c r="AE295" s="383"/>
      <c r="AF295" s="377"/>
    </row>
    <row r="296" spans="1:32">
      <c r="A296" s="393"/>
      <c r="B296" s="393"/>
      <c r="C296" s="524"/>
      <c r="D296" s="524"/>
      <c r="E296" s="524"/>
      <c r="F296" s="384"/>
      <c r="G296" s="384"/>
      <c r="H296" s="639"/>
      <c r="I296" s="639"/>
      <c r="J296" s="381">
        <f t="shared" ref="J296:J298" si="21">IF(ISNUMBER(H296),H296,)</f>
        <v>0</v>
      </c>
      <c r="K296" s="381">
        <f t="shared" ref="K296:K298" si="22">H296*I296</f>
        <v>0</v>
      </c>
      <c r="L296" s="634">
        <f>IFERROR(IF(B296="funkcna poziadavka",VLOOKUP(G296,MODULY_CBA!$B$3:$E$23,4,0)*H296/SUMIFS($H$3:$H$197,$G$3:$G$197,G296,$B$3:$B$197,B296),),)</f>
        <v>0</v>
      </c>
      <c r="M296" s="381">
        <f>IFERROR(IF(B296="Funkcna poziadavka",VLOOKUP(G296,MODULY_CBA!$B$3:$E$23,3,0),),)</f>
        <v>0</v>
      </c>
      <c r="N296" s="381">
        <f>IFERROR(IF(B296="funkcna poziadavka",VLOOKUP(G296,MODULY_CBA!$B$3:$E$23,2,0),),)</f>
        <v>0</v>
      </c>
      <c r="O296" s="380">
        <f t="shared" ref="O296:O298" si="23">(K296+L296)*M296*N296</f>
        <v>0</v>
      </c>
      <c r="P296" s="379">
        <f>IFERROR(O296*VLOOKUP(G296,MODULY_CBA!$B$3:$F$23,5,0),)</f>
        <v>0</v>
      </c>
      <c r="Q296" s="471" t="str">
        <f>IFERROR(VLOOKUP(G296,MODULY_CBA!$B$3:$I$23,6,0),"")</f>
        <v/>
      </c>
      <c r="R296" s="383"/>
      <c r="S296" s="383"/>
      <c r="T296" s="383"/>
      <c r="U296" s="383"/>
      <c r="V296" s="383"/>
      <c r="W296" s="383"/>
      <c r="X296" s="383"/>
      <c r="Y296" s="383"/>
      <c r="Z296" s="383"/>
      <c r="AA296" s="383"/>
      <c r="AB296" s="383"/>
      <c r="AC296" s="383"/>
      <c r="AD296" s="383"/>
      <c r="AE296" s="383"/>
      <c r="AF296" s="377"/>
    </row>
    <row r="297" spans="1:32">
      <c r="A297" s="393"/>
      <c r="B297" s="393"/>
      <c r="C297" s="524"/>
      <c r="D297" s="524"/>
      <c r="E297" s="524"/>
      <c r="F297" s="384"/>
      <c r="G297" s="384"/>
      <c r="H297" s="639"/>
      <c r="I297" s="639"/>
      <c r="J297" s="381">
        <f t="shared" si="21"/>
        <v>0</v>
      </c>
      <c r="K297" s="381">
        <f t="shared" si="22"/>
        <v>0</v>
      </c>
      <c r="L297" s="634">
        <f>IFERROR(IF(B297="funkcna poziadavka",VLOOKUP(G297,MODULY_CBA!$B$3:$E$23,4,0)*H297/SUMIFS($H$3:$H$197,$G$3:$G$197,G297,$B$3:$B$197,B297),),)</f>
        <v>0</v>
      </c>
      <c r="M297" s="381">
        <f>IFERROR(IF(B297="Funkcna poziadavka",VLOOKUP(G297,MODULY_CBA!$B$3:$E$23,3,0),),)</f>
        <v>0</v>
      </c>
      <c r="N297" s="381">
        <f>IFERROR(IF(B297="funkcna poziadavka",VLOOKUP(G297,MODULY_CBA!$B$3:$E$23,2,0),),)</f>
        <v>0</v>
      </c>
      <c r="O297" s="380">
        <f t="shared" si="23"/>
        <v>0</v>
      </c>
      <c r="P297" s="379">
        <f>IFERROR(O297*VLOOKUP(G297,MODULY_CBA!$B$3:$F$23,5,0),)</f>
        <v>0</v>
      </c>
      <c r="Q297" s="471" t="str">
        <f>IFERROR(VLOOKUP(G297,MODULY_CBA!$B$3:$I$23,6,0),"")</f>
        <v/>
      </c>
      <c r="R297" s="383"/>
      <c r="S297" s="383"/>
      <c r="T297" s="383"/>
      <c r="U297" s="383"/>
      <c r="V297" s="383"/>
      <c r="W297" s="383"/>
      <c r="X297" s="383"/>
      <c r="Y297" s="383"/>
      <c r="Z297" s="383"/>
      <c r="AA297" s="383"/>
      <c r="AB297" s="383"/>
      <c r="AC297" s="383"/>
      <c r="AD297" s="383"/>
      <c r="AE297" s="383"/>
      <c r="AF297" s="377"/>
    </row>
    <row r="298" spans="1:32">
      <c r="A298" s="393"/>
      <c r="B298" s="393" t="s">
        <v>739</v>
      </c>
      <c r="C298" s="524" t="s">
        <v>746</v>
      </c>
      <c r="D298" s="524" t="s">
        <v>747</v>
      </c>
      <c r="E298" s="524" t="s">
        <v>1</v>
      </c>
      <c r="F298" s="384" t="s">
        <v>748</v>
      </c>
      <c r="G298" s="384" t="s">
        <v>738</v>
      </c>
      <c r="H298" s="639">
        <v>5</v>
      </c>
      <c r="I298" s="639">
        <v>15</v>
      </c>
      <c r="J298" s="381">
        <f t="shared" si="21"/>
        <v>5</v>
      </c>
      <c r="K298" s="381">
        <f t="shared" si="22"/>
        <v>75</v>
      </c>
      <c r="L298" s="634">
        <f>IFERROR(IF(B298="funkcna poziadavka",VLOOKUP(G298,MODULY_CBA!$B$3:$E$23,4,0)*H298/SUMIFS($H$3:$H$197,$G$3:$G$197,G298,$B$3:$B$197,B298),),)</f>
        <v>0</v>
      </c>
      <c r="M298" s="381">
        <f>IFERROR(IF(B298="Funkcna poziadavka",VLOOKUP(G298,MODULY_CBA!$B$3:$E$23,3,0),),)</f>
        <v>0</v>
      </c>
      <c r="N298" s="381">
        <f>IFERROR(IF(B298="funkcna poziadavka",VLOOKUP(G298,MODULY_CBA!$B$3:$E$23,2,0),),)</f>
        <v>0</v>
      </c>
      <c r="O298" s="380">
        <f t="shared" si="23"/>
        <v>0</v>
      </c>
      <c r="P298" s="379">
        <f>IFERROR(O298*VLOOKUP(G298,MODULY_CBA!$B$3:$F$23,5,0),)</f>
        <v>0</v>
      </c>
      <c r="Q298" s="471" t="str">
        <f>IFERROR(VLOOKUP(G298,MODULY_CBA!$B$3:$I$23,6,0),"")</f>
        <v/>
      </c>
      <c r="R298" s="383"/>
      <c r="S298" s="383"/>
      <c r="T298" s="383"/>
      <c r="U298" s="383"/>
      <c r="V298" s="383"/>
      <c r="W298" s="383"/>
      <c r="X298" s="383"/>
      <c r="Y298" s="383"/>
      <c r="Z298" s="383"/>
      <c r="AA298" s="383"/>
      <c r="AB298" s="383"/>
      <c r="AC298" s="383"/>
      <c r="AD298" s="383"/>
      <c r="AE298" s="383"/>
      <c r="AF298" s="377"/>
    </row>
  </sheetData>
  <autoFilter ref="A2:AE298" xr:uid="{00000000-0009-0000-0000-00000B000000}"/>
  <mergeCells count="4">
    <mergeCell ref="T1:V1"/>
    <mergeCell ref="W1:AC1"/>
    <mergeCell ref="AD1:AE1"/>
    <mergeCell ref="A1:S1"/>
  </mergeCells>
  <phoneticPr fontId="58" type="noConversion"/>
  <conditionalFormatting sqref="H3:I298">
    <cfRule type="expression" dxfId="19" priority="1">
      <formula>$B3="Funkcna poziadavka"</formula>
    </cfRule>
  </conditionalFormatting>
  <conditionalFormatting sqref="J3:P298">
    <cfRule type="expression" dxfId="18" priority="2">
      <formula>$B3="funkcna poziadavka"</formula>
    </cfRule>
  </conditionalFormatting>
  <dataValidations count="3">
    <dataValidation type="list" allowBlank="1" showInputMessage="1" showErrorMessage="1" sqref="I3:I298" xr:uid="{00000000-0002-0000-0B00-000000000000}">
      <formula1>"5,10,15"</formula1>
    </dataValidation>
    <dataValidation type="list" allowBlank="1" showInputMessage="1" showErrorMessage="1" sqref="G3:G168 G172:G1048576" xr:uid="{00000000-0002-0000-0B00-000001000000}">
      <formula1>Moduly_2</formula1>
    </dataValidation>
    <dataValidation type="list" allowBlank="1" showInputMessage="1" showErrorMessage="1" sqref="B3:B298" xr:uid="{00000000-0002-0000-0B00-000002000000}">
      <formula1>"Funkcna poziadavka, Ne-Funkcna poziadavka, Technicka poziadavka"</formula1>
    </dataValidation>
  </dataValidations>
  <pageMargins left="0.7" right="0.7" top="0.75" bottom="0.75" header="0.3" footer="0.3"/>
  <pageSetup paperSize="9" orientation="portrait" horizontalDpi="4294967293"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49DB4A-801D-4FB9-BCE5-1F510DC52955}">
          <x14:formula1>
            <xm:f>MODULY_CBA!$B$3:$B$22</xm:f>
          </x14:formula1>
          <xm:sqref>G169:G171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7">
    <tabColor rgb="FFFFC000"/>
  </sheetPr>
  <dimension ref="A1:G17"/>
  <sheetViews>
    <sheetView workbookViewId="0">
      <pane xSplit="2" ySplit="4" topLeftCell="D5" activePane="bottomRight" state="frozen"/>
      <selection pane="topRight" activeCell="C1" sqref="C1"/>
      <selection pane="bottomLeft" activeCell="A5" sqref="A5"/>
      <selection pane="bottomRight" activeCell="D1" sqref="D1"/>
    </sheetView>
  </sheetViews>
  <sheetFormatPr defaultColWidth="8.85546875" defaultRowHeight="12.75"/>
  <cols>
    <col min="1" max="1" width="40" style="399" customWidth="1"/>
    <col min="2" max="2" width="11.140625" style="399" customWidth="1"/>
    <col min="3" max="3" width="11.140625" style="399" hidden="1" customWidth="1"/>
    <col min="4" max="4" width="55.42578125" style="399" customWidth="1"/>
    <col min="5" max="7" width="10.85546875" style="399" customWidth="1"/>
    <col min="8" max="16384" width="8.85546875" style="399"/>
  </cols>
  <sheetData>
    <row r="1" spans="1:7" ht="13.5" thickBot="1">
      <c r="A1" s="599" t="s">
        <v>354</v>
      </c>
      <c r="B1" s="598">
        <f>SUM(G5:G17)</f>
        <v>39</v>
      </c>
      <c r="C1" s="598"/>
    </row>
    <row r="2" spans="1:7" ht="13.5" thickBot="1">
      <c r="A2" s="599" t="s">
        <v>325</v>
      </c>
      <c r="B2" s="602">
        <f>0.6 + (0.01*B1)</f>
        <v>0.99</v>
      </c>
      <c r="C2" s="603"/>
    </row>
    <row r="4" spans="1:7" s="611" customFormat="1">
      <c r="A4" s="607" t="s">
        <v>40</v>
      </c>
      <c r="B4" s="608" t="s">
        <v>452</v>
      </c>
      <c r="C4" s="607" t="s">
        <v>554</v>
      </c>
      <c r="D4" s="607" t="s">
        <v>668</v>
      </c>
      <c r="E4" s="609" t="s">
        <v>451</v>
      </c>
      <c r="F4" s="610" t="s">
        <v>2</v>
      </c>
      <c r="G4" s="610" t="s">
        <v>551</v>
      </c>
    </row>
    <row r="5" spans="1:7" ht="36" customHeight="1">
      <c r="A5" s="594" t="s">
        <v>353</v>
      </c>
      <c r="B5" s="593" t="s">
        <v>367</v>
      </c>
      <c r="C5" s="593">
        <v>1</v>
      </c>
      <c r="D5" s="605" t="str">
        <f>HLOOKUP(F5,Parametre_ECF_TCF!$B$1:$G$14,TCF_v02!C5+1,0)</f>
        <v>Aplikačné spracovanie je distribuované a údaje sa prenášajú iba jedným smerom.</v>
      </c>
      <c r="E5" s="595">
        <v>1</v>
      </c>
      <c r="F5" s="596">
        <v>3</v>
      </c>
      <c r="G5" s="597">
        <f>E5*F5</f>
        <v>3</v>
      </c>
    </row>
    <row r="6" spans="1:7" ht="51">
      <c r="A6" s="594" t="s">
        <v>352</v>
      </c>
      <c r="B6" s="593" t="s">
        <v>366</v>
      </c>
      <c r="C6" s="593">
        <v>2</v>
      </c>
      <c r="D6" s="605"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v>
      </c>
      <c r="E6" s="595">
        <v>1</v>
      </c>
      <c r="F6" s="596">
        <v>3</v>
      </c>
      <c r="G6" s="597">
        <f t="shared" ref="G6:G17" si="0">E6*F6</f>
        <v>3</v>
      </c>
    </row>
    <row r="7" spans="1:7" ht="153">
      <c r="A7" s="594" t="s">
        <v>351</v>
      </c>
      <c r="B7" s="593" t="s">
        <v>365</v>
      </c>
      <c r="C7" s="593">
        <v>3</v>
      </c>
      <c r="D7" s="605" t="str">
        <f>HLOOKUP(F7,Parametre_ECF_TCF!$B$1:$G$14,TCF_v02!C7+1,0)</f>
        <v>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595">
        <v>1</v>
      </c>
      <c r="F7" s="596">
        <v>3</v>
      </c>
      <c r="G7" s="597">
        <f t="shared" si="0"/>
        <v>3</v>
      </c>
    </row>
    <row r="8" spans="1:7" ht="153">
      <c r="A8" s="594" t="s">
        <v>350</v>
      </c>
      <c r="B8" s="593" t="s">
        <v>364</v>
      </c>
      <c r="C8" s="593">
        <v>4</v>
      </c>
      <c r="D8" s="605" t="str">
        <f>HLOOKUP(F8,Parametre_ECF_TCF!$B$1:$G$14,TCF_v02!C8+1,0)</f>
        <v>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595">
        <v>1</v>
      </c>
      <c r="F8" s="596">
        <v>3</v>
      </c>
      <c r="G8" s="597">
        <f t="shared" si="0"/>
        <v>3</v>
      </c>
    </row>
    <row r="9" spans="1:7" ht="25.5">
      <c r="A9" s="594" t="s">
        <v>349</v>
      </c>
      <c r="B9" s="593" t="s">
        <v>363</v>
      </c>
      <c r="C9" s="593">
        <v>5</v>
      </c>
      <c r="D9" s="605" t="str">
        <f>HLOOKUP(F9,Parametre_ECF_TCF!$B$1:$G$14,TCF_v02!C9+1,0)</f>
        <v>10% alebo viac aplikácie musí brať do úvahy viac, ako potrebuje používateľ.</v>
      </c>
      <c r="E9" s="595">
        <v>1</v>
      </c>
      <c r="F9" s="596">
        <v>3</v>
      </c>
      <c r="G9" s="597">
        <f t="shared" si="0"/>
        <v>3</v>
      </c>
    </row>
    <row r="10" spans="1:7" ht="38.25">
      <c r="A10" s="594" t="s">
        <v>348</v>
      </c>
      <c r="B10" s="593" t="s">
        <v>362</v>
      </c>
      <c r="C10" s="593">
        <v>6</v>
      </c>
      <c r="D10" s="605" t="str">
        <f>HLOOKUP(F10,Parametre_ECF_TCF!$B$1:$G$14,TCF_v02!C10+1,0)</f>
        <v>Musia byť poskytnuté a otestované požiadavky stanovené klientom na prevod a inštaláciu údajov a príručky na prevod a inštaláciu. Dopad konverzie na projekt je značný.</v>
      </c>
      <c r="E10" s="595">
        <v>0.5</v>
      </c>
      <c r="F10" s="596">
        <v>3</v>
      </c>
      <c r="G10" s="597">
        <f t="shared" si="0"/>
        <v>1.5</v>
      </c>
    </row>
    <row r="11" spans="1:7" ht="127.5">
      <c r="A11" s="594" t="s">
        <v>347</v>
      </c>
      <c r="B11" s="593" t="s">
        <v>361</v>
      </c>
      <c r="C11" s="593">
        <v>7</v>
      </c>
      <c r="D11" s="605" t="str">
        <f>HLOOKUP(F11,Parametre_ECF_TCF!$B$1:$G$14,TCF_v02!C11+1,0)</f>
        <v>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595">
        <v>0.5</v>
      </c>
      <c r="F11" s="596">
        <v>3</v>
      </c>
      <c r="G11" s="597">
        <f t="shared" si="0"/>
        <v>1.5</v>
      </c>
    </row>
    <row r="12" spans="1:7" ht="38.25">
      <c r="A12" s="594" t="s">
        <v>346</v>
      </c>
      <c r="B12" s="593" t="s">
        <v>360</v>
      </c>
      <c r="C12" s="593">
        <v>8</v>
      </c>
      <c r="D12" s="605" t="str">
        <f>HLOOKUP(F12,Parametre_ECF_TCF!$B$1:$G$14,TCF_v02!C12+1,0)</f>
        <v>Návrh musí brať do úvahy potrebu systému pracovať na rôznych platformách, ale aplikácia musí byť navrhnutá tak, aby fungovala v heterogénnych hardvérových a softvérových prostrediach.</v>
      </c>
      <c r="E12" s="595">
        <v>2</v>
      </c>
      <c r="F12" s="596">
        <v>3</v>
      </c>
      <c r="G12" s="597">
        <f t="shared" si="0"/>
        <v>6</v>
      </c>
    </row>
    <row r="13" spans="1:7" ht="255">
      <c r="A13" s="594" t="s">
        <v>345</v>
      </c>
      <c r="B13" s="593" t="s">
        <v>359</v>
      </c>
      <c r="C13" s="593">
        <v>9</v>
      </c>
      <c r="D13" s="605" t="str">
        <f>HLOOKUP(F13,Parametre_ECF_TCF!$B$1:$G$14,TCF_v02!C13+1,0)</f>
        <v>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595">
        <v>1</v>
      </c>
      <c r="F13" s="596">
        <v>3</v>
      </c>
      <c r="G13" s="597">
        <f t="shared" si="0"/>
        <v>3</v>
      </c>
    </row>
    <row r="14" spans="1:7">
      <c r="A14" s="594" t="s">
        <v>344</v>
      </c>
      <c r="B14" s="593" t="s">
        <v>358</v>
      </c>
      <c r="C14" s="593">
        <v>10</v>
      </c>
      <c r="D14" s="605" t="str">
        <f>HLOOKUP(F14,Parametre_ECF_TCF!$B$1:$G$14,TCF_v02!C14+1,0)</f>
        <v>Súčasný prístup k údajom sa očakáva neustále</v>
      </c>
      <c r="E14" s="595">
        <v>1</v>
      </c>
      <c r="F14" s="596">
        <v>3</v>
      </c>
      <c r="G14" s="597">
        <f t="shared" si="0"/>
        <v>3</v>
      </c>
    </row>
    <row r="15" spans="1:7" ht="51">
      <c r="A15" s="594" t="s">
        <v>343</v>
      </c>
      <c r="B15" s="593" t="s">
        <v>357</v>
      </c>
      <c r="C15" s="593">
        <v>11</v>
      </c>
      <c r="D15" s="605" t="str">
        <f>HLOOKUP(F15,Parametre_ECF_TCF!$B$1:$G$14,TCF_v02!C15+1,0)</f>
        <v>Pri návrhu sa musí brať do úvahy potreba bezpečnosti.
Aplikácia musí byť navrhnutá tak, aby k nej mali prístup iba autorizovaní používatelia.
Zároveň bude kontrolovaný a kontrolovaný prístup do systému</v>
      </c>
      <c r="E15" s="595">
        <v>1</v>
      </c>
      <c r="F15" s="596">
        <v>3</v>
      </c>
      <c r="G15" s="597">
        <f t="shared" si="0"/>
        <v>3</v>
      </c>
    </row>
    <row r="16" spans="1:7" ht="36" customHeight="1">
      <c r="A16" s="594" t="s">
        <v>342</v>
      </c>
      <c r="B16" s="593" t="s">
        <v>356</v>
      </c>
      <c r="C16" s="593">
        <v>12</v>
      </c>
      <c r="D16" s="605" t="str">
        <f>HLOOKUP(F16,Parametre_ECF_TCF!$B$1:$G$14,TCF_v02!C16+1,0)</f>
        <v>Predbežný kód, ktorý je nakoniec potrebné upraviť, sa použije v malých častiach aplikácie.</v>
      </c>
      <c r="E16" s="595">
        <v>1</v>
      </c>
      <c r="F16" s="596">
        <v>3</v>
      </c>
      <c r="G16" s="597">
        <f t="shared" si="0"/>
        <v>3</v>
      </c>
    </row>
    <row r="17" spans="1:7" ht="40.35" customHeight="1">
      <c r="A17" s="594" t="s">
        <v>341</v>
      </c>
      <c r="B17" s="593" t="s">
        <v>355</v>
      </c>
      <c r="C17" s="593">
        <v>13</v>
      </c>
      <c r="D17" s="605" t="str">
        <f>HLOOKUP(F17,Parametre_ECF_TCF!$B$1:$G$14,TCF_v02!C17+1,0)</f>
        <v>Existujú formálne špecifické požiadavky na školenie používateľov a aplikácia musí byť navrhnutá na podporu používateľov s rôznymi úrovňami školenia.</v>
      </c>
      <c r="E17" s="595">
        <v>1</v>
      </c>
      <c r="F17" s="596">
        <v>3</v>
      </c>
      <c r="G17" s="597">
        <f t="shared" si="0"/>
        <v>3</v>
      </c>
    </row>
  </sheetData>
  <conditionalFormatting sqref="F5:G17">
    <cfRule type="expression" dxfId="17" priority="1">
      <formula>#REF!="NIE"</formula>
    </cfRule>
    <cfRule type="expression" dxfId="16" priority="2">
      <formula>#REF!="ANO"</formula>
    </cfRule>
  </conditionalFormatting>
  <dataValidations count="1">
    <dataValidation type="list" allowBlank="1" showInputMessage="1" showErrorMessage="1" sqref="F5:F17" xr:uid="{00000000-0002-0000-0C00-000000000000}">
      <formula1>"0,1,2,3,4,5"</formula1>
    </dataValidation>
  </dataValidations>
  <pageMargins left="0.7" right="0.7" top="0.75" bottom="0.75" header="0.3" footer="0.3"/>
  <pageSetup paperSize="9" orientation="portrait" horizontalDpi="4294967293"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8">
    <tabColor rgb="FFFFC000"/>
  </sheetPr>
  <dimension ref="A1:G12"/>
  <sheetViews>
    <sheetView workbookViewId="0">
      <pane ySplit="4" topLeftCell="A5" activePane="bottomLeft" state="frozen"/>
      <selection pane="bottomLeft" activeCell="B1" sqref="B1"/>
    </sheetView>
  </sheetViews>
  <sheetFormatPr defaultColWidth="8.85546875" defaultRowHeight="12.75"/>
  <cols>
    <col min="1" max="1" width="40" style="399" customWidth="1"/>
    <col min="2" max="2" width="11.140625" style="399" customWidth="1"/>
    <col min="3" max="3" width="10.85546875" style="399" hidden="1" customWidth="1"/>
    <col min="4" max="4" width="55.7109375" style="399" customWidth="1"/>
    <col min="5" max="7" width="10.7109375" style="399" customWidth="1"/>
    <col min="8" max="16384" width="8.85546875" style="399"/>
  </cols>
  <sheetData>
    <row r="1" spans="1:7" ht="13.5" thickBot="1">
      <c r="A1" s="599" t="s">
        <v>354</v>
      </c>
      <c r="B1" s="598">
        <f>SUM(G5:G12)</f>
        <v>13.5</v>
      </c>
      <c r="C1" s="598"/>
    </row>
    <row r="2" spans="1:7" ht="13.5" thickBot="1">
      <c r="A2" s="599" t="s">
        <v>325</v>
      </c>
      <c r="B2" s="602">
        <f>1.4 + (-0.03*B1)</f>
        <v>0.99499999999999988</v>
      </c>
      <c r="C2" s="603"/>
    </row>
    <row r="4" spans="1:7" s="611" customFormat="1">
      <c r="A4" s="607" t="s">
        <v>40</v>
      </c>
      <c r="B4" s="608" t="s">
        <v>452</v>
      </c>
      <c r="C4" s="607" t="s">
        <v>554</v>
      </c>
      <c r="D4" s="607" t="s">
        <v>668</v>
      </c>
      <c r="E4" s="609" t="s">
        <v>451</v>
      </c>
      <c r="F4" s="610" t="s">
        <v>2</v>
      </c>
      <c r="G4" s="610" t="s">
        <v>551</v>
      </c>
    </row>
    <row r="5" spans="1:7" ht="45.6" customHeight="1">
      <c r="A5" s="601" t="s">
        <v>457</v>
      </c>
      <c r="B5" s="600" t="s">
        <v>506</v>
      </c>
      <c r="C5" s="600">
        <v>1</v>
      </c>
      <c r="D5" s="605" t="str">
        <f>HLOOKUP(F5,Parametre_ECF_TCF!$B$1:$G$50,ECF_v02!C5+14,0)</f>
        <v>Niekoľko členov tímu využilo postup vo viac ako jednom projekte.</v>
      </c>
      <c r="E5" s="595">
        <v>1.5</v>
      </c>
      <c r="F5" s="596">
        <v>3</v>
      </c>
      <c r="G5" s="597">
        <f>E5*F5</f>
        <v>4.5</v>
      </c>
    </row>
    <row r="6" spans="1:7" ht="45.6" customHeight="1">
      <c r="A6" s="601" t="s">
        <v>374</v>
      </c>
      <c r="B6" s="593" t="s">
        <v>507</v>
      </c>
      <c r="C6" s="593">
        <v>2</v>
      </c>
      <c r="D6" s="605" t="str">
        <f>HLOOKUP(F6,Parametre_ECF_TCF!$B$1:$G$50,ECF_v02!C6+14,0)</f>
        <v>Väčšina členov tímu má 18 až 24 mesiacov skúseností s projektmi v rovnakej oblasti.</v>
      </c>
      <c r="E6" s="595">
        <v>0.5</v>
      </c>
      <c r="F6" s="596">
        <v>3</v>
      </c>
      <c r="G6" s="597">
        <f t="shared" ref="G6:G12" si="0">E6*F6</f>
        <v>1.5</v>
      </c>
    </row>
    <row r="7" spans="1:7" ht="45.6" customHeight="1">
      <c r="A7" s="601" t="s">
        <v>373</v>
      </c>
      <c r="B7" s="593" t="s">
        <v>508</v>
      </c>
      <c r="C7" s="593">
        <v>3</v>
      </c>
      <c r="D7" s="605" t="str">
        <f>HLOOKUP(F7,Parametre_ECF_TCF!$B$1:$G$50,ECF_v02!C7+14,0)</f>
        <v>Všetci členovia tímu majú 12 až 18 mesiacov skúseností alebo väčšina členov tímu má 18 až 24 mesiacov skúseností v oblasti objektovo orientovaných techník</v>
      </c>
      <c r="E7" s="595">
        <v>1</v>
      </c>
      <c r="F7" s="596">
        <v>3</v>
      </c>
      <c r="G7" s="597">
        <f t="shared" si="0"/>
        <v>3</v>
      </c>
    </row>
    <row r="8" spans="1:7" ht="45.6" customHeight="1">
      <c r="A8" s="601" t="s">
        <v>372</v>
      </c>
      <c r="B8" s="593" t="s">
        <v>509</v>
      </c>
      <c r="C8" s="593">
        <v>4</v>
      </c>
      <c r="D8" s="605" t="str">
        <f>HLOOKUP(F8,Parametre_ECF_TCF!$B$1:$G$50,ECF_v02!C8+14,0)</f>
        <v>Vedúci analytik má asi dvojročné skúsenosti s podobnými projektmi.</v>
      </c>
      <c r="E8" s="595">
        <v>0.5</v>
      </c>
      <c r="F8" s="596">
        <v>3</v>
      </c>
      <c r="G8" s="597">
        <f t="shared" si="0"/>
        <v>1.5</v>
      </c>
    </row>
    <row r="9" spans="1:7" ht="45.6" customHeight="1">
      <c r="A9" s="601" t="s">
        <v>371</v>
      </c>
      <c r="B9" s="593" t="s">
        <v>510</v>
      </c>
      <c r="C9" s="593">
        <v>5</v>
      </c>
      <c r="D9" s="605" t="str">
        <f>HLOOKUP(F9,Parametre_ECF_TCF!$B$1:$G$50,ECF_v02!C9+14,0)</f>
        <v>Tím má určitú motiváciu. Tím má zvyčajne iniciatívu, ale na udržanie produktivity je stále nevyhnutný zásah manažmentu.</v>
      </c>
      <c r="E9" s="595">
        <v>1</v>
      </c>
      <c r="F9" s="596">
        <v>3</v>
      </c>
      <c r="G9" s="597">
        <f t="shared" si="0"/>
        <v>3</v>
      </c>
    </row>
    <row r="10" spans="1:7" ht="45.6" customHeight="1">
      <c r="A10" s="601" t="s">
        <v>370</v>
      </c>
      <c r="B10" s="593" t="s">
        <v>511</v>
      </c>
      <c r="C10" s="593">
        <v>6</v>
      </c>
      <c r="D10" s="605" t="str">
        <f>HLOOKUP(F10,Parametre_ECF_TCF!$B$1:$G$50,ECF_v02!C10+14,0)</f>
        <v>Požiadavky boli v minulosti pomerne stabilné. Klienti požiadali o zmeny sekundárnych funkcionalít s určitou pravidelnosťou. Zmeny hlavných funkcií boli žiadané zriedka.</v>
      </c>
      <c r="E10" s="595">
        <v>2</v>
      </c>
      <c r="F10" s="596">
        <v>3</v>
      </c>
      <c r="G10" s="597">
        <f t="shared" si="0"/>
        <v>6</v>
      </c>
    </row>
    <row r="11" spans="1:7" ht="45.6" customHeight="1">
      <c r="A11" s="601" t="s">
        <v>369</v>
      </c>
      <c r="B11" s="593" t="s">
        <v>512</v>
      </c>
      <c r="C11" s="593">
        <v>7</v>
      </c>
      <c r="D11" s="605" t="str">
        <f>HLOOKUP(F11,Parametre_ECF_TCF!$B$1:$G$50,ECF_v02!C11+14,0)</f>
        <v>Až 40% tímu je na čiastočný úväzok.</v>
      </c>
      <c r="E11" s="595">
        <v>-1</v>
      </c>
      <c r="F11" s="596">
        <v>3</v>
      </c>
      <c r="G11" s="597">
        <f t="shared" si="0"/>
        <v>-3</v>
      </c>
    </row>
    <row r="12" spans="1:7" ht="45.6" customHeight="1">
      <c r="A12" s="601" t="s">
        <v>368</v>
      </c>
      <c r="B12" s="593" t="s">
        <v>513</v>
      </c>
      <c r="C12" s="604">
        <v>8</v>
      </c>
      <c r="D12" s="605" t="str">
        <f>HLOOKUP(F12,Parametre_ECF_TCF!$B$1:$G$50,ECF_v02!C12+14,0)</f>
        <v>Väčšina členov tímu má najmenej 18 mesiacov skúseností s programovaním.</v>
      </c>
      <c r="E12" s="595">
        <v>-1</v>
      </c>
      <c r="F12" s="596">
        <v>3</v>
      </c>
      <c r="G12" s="597">
        <f t="shared" si="0"/>
        <v>-3</v>
      </c>
    </row>
  </sheetData>
  <phoneticPr fontId="58" type="noConversion"/>
  <conditionalFormatting sqref="F5:G12">
    <cfRule type="expression" dxfId="15" priority="1">
      <formula>#REF!="NIE"</formula>
    </cfRule>
    <cfRule type="expression" dxfId="14" priority="2">
      <formula>#REF!="ANO"</formula>
    </cfRule>
  </conditionalFormatting>
  <dataValidations count="1">
    <dataValidation type="list" allowBlank="1" showInputMessage="1" showErrorMessage="1" sqref="F5:F12" xr:uid="{00000000-0002-0000-0D00-000000000000}">
      <formula1>"0,1,2,3,4,5"</formula1>
    </dataValidation>
  </dataValidation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29">
    <tabColor rgb="FFFFC000"/>
  </sheetPr>
  <dimension ref="A1:Q26"/>
  <sheetViews>
    <sheetView workbookViewId="0">
      <pane xSplit="2" ySplit="5" topLeftCell="C6" activePane="bottomRight" state="frozen"/>
      <selection activeCell="I3" sqref="I3"/>
      <selection pane="topRight" activeCell="I3" sqref="I3"/>
      <selection pane="bottomLeft" activeCell="I3" sqref="I3"/>
      <selection pane="bottomRight" activeCell="D3" sqref="D3"/>
    </sheetView>
  </sheetViews>
  <sheetFormatPr defaultColWidth="8.85546875" defaultRowHeight="12.75"/>
  <cols>
    <col min="1" max="1" width="26.28515625" style="399" customWidth="1"/>
    <col min="2" max="2" width="13.28515625" style="399" bestFit="1" customWidth="1"/>
    <col min="3" max="16" width="11.7109375" style="399" customWidth="1"/>
    <col min="17" max="16384" width="8.85546875" style="399"/>
  </cols>
  <sheetData>
    <row r="1" spans="1:17">
      <c r="A1" s="788" t="s">
        <v>294</v>
      </c>
      <c r="B1" s="410" t="s">
        <v>379</v>
      </c>
      <c r="C1" s="414" t="s">
        <v>760</v>
      </c>
      <c r="D1" s="414" t="s">
        <v>760</v>
      </c>
      <c r="E1" s="414" t="s">
        <v>760</v>
      </c>
      <c r="F1" s="414" t="s">
        <v>760</v>
      </c>
      <c r="G1" s="414" t="s">
        <v>760</v>
      </c>
      <c r="H1" s="414" t="s">
        <v>760</v>
      </c>
      <c r="I1" s="414" t="s">
        <v>760</v>
      </c>
      <c r="J1" s="414" t="s">
        <v>760</v>
      </c>
      <c r="K1" s="414" t="s">
        <v>760</v>
      </c>
      <c r="L1" s="414" t="s">
        <v>760</v>
      </c>
      <c r="M1" s="414" t="s">
        <v>760</v>
      </c>
      <c r="N1" s="414" t="s">
        <v>760</v>
      </c>
      <c r="O1" s="414" t="s">
        <v>760</v>
      </c>
      <c r="P1" s="414" t="s">
        <v>760</v>
      </c>
      <c r="Q1" s="407"/>
    </row>
    <row r="2" spans="1:17" ht="51">
      <c r="A2" s="788"/>
      <c r="B2" s="410" t="s">
        <v>378</v>
      </c>
      <c r="C2" s="413" t="s">
        <v>377</v>
      </c>
      <c r="D2" s="413" t="s">
        <v>443</v>
      </c>
      <c r="E2" s="413" t="s">
        <v>445</v>
      </c>
      <c r="F2" s="413"/>
      <c r="G2" s="413"/>
      <c r="H2" s="413"/>
      <c r="I2" s="413"/>
      <c r="J2" s="413"/>
      <c r="K2" s="413"/>
      <c r="L2" s="413"/>
      <c r="M2" s="413"/>
      <c r="N2" s="413"/>
      <c r="O2" s="413"/>
      <c r="P2" s="413"/>
      <c r="Q2" s="407"/>
    </row>
    <row r="3" spans="1:17">
      <c r="A3" s="788"/>
      <c r="B3" s="410" t="s">
        <v>376</v>
      </c>
      <c r="C3" s="412">
        <v>3</v>
      </c>
      <c r="D3" s="412">
        <v>3</v>
      </c>
      <c r="E3" s="412">
        <v>3</v>
      </c>
      <c r="F3" s="412"/>
      <c r="G3" s="412"/>
      <c r="H3" s="412"/>
      <c r="I3" s="412"/>
      <c r="J3" s="412"/>
      <c r="K3" s="412"/>
      <c r="L3" s="412"/>
      <c r="M3" s="412"/>
      <c r="N3" s="412"/>
      <c r="O3" s="412"/>
      <c r="P3" s="412"/>
      <c r="Q3" s="407"/>
    </row>
    <row r="4" spans="1:17">
      <c r="A4" s="788"/>
      <c r="B4" s="410" t="s">
        <v>244</v>
      </c>
      <c r="C4" s="412">
        <v>2</v>
      </c>
      <c r="D4" s="412">
        <v>2</v>
      </c>
      <c r="E4" s="412">
        <v>5</v>
      </c>
      <c r="F4" s="412"/>
      <c r="G4" s="412"/>
      <c r="H4" s="404"/>
      <c r="I4" s="404"/>
      <c r="J4" s="404"/>
      <c r="K4" s="404"/>
      <c r="L4" s="404"/>
      <c r="M4" s="404"/>
      <c r="N4" s="404"/>
      <c r="O4" s="404"/>
      <c r="P4" s="411"/>
      <c r="Q4" s="407"/>
    </row>
    <row r="5" spans="1:17">
      <c r="A5" s="788"/>
      <c r="B5" s="410" t="s">
        <v>375</v>
      </c>
      <c r="C5" s="409">
        <f t="shared" ref="C5:P5" si="0">C3*C4</f>
        <v>6</v>
      </c>
      <c r="D5" s="409">
        <f t="shared" si="0"/>
        <v>6</v>
      </c>
      <c r="E5" s="409">
        <f t="shared" si="0"/>
        <v>15</v>
      </c>
      <c r="F5" s="409">
        <f t="shared" si="0"/>
        <v>0</v>
      </c>
      <c r="G5" s="409">
        <f t="shared" si="0"/>
        <v>0</v>
      </c>
      <c r="H5" s="409">
        <f t="shared" si="0"/>
        <v>0</v>
      </c>
      <c r="I5" s="409">
        <f t="shared" si="0"/>
        <v>0</v>
      </c>
      <c r="J5" s="409">
        <f t="shared" si="0"/>
        <v>0</v>
      </c>
      <c r="K5" s="409">
        <f t="shared" si="0"/>
        <v>0</v>
      </c>
      <c r="L5" s="409">
        <f t="shared" si="0"/>
        <v>0</v>
      </c>
      <c r="M5" s="409">
        <f t="shared" si="0"/>
        <v>0</v>
      </c>
      <c r="N5" s="409">
        <f t="shared" si="0"/>
        <v>0</v>
      </c>
      <c r="O5" s="409">
        <f t="shared" si="0"/>
        <v>0</v>
      </c>
      <c r="P5" s="409">
        <f t="shared" si="0"/>
        <v>0</v>
      </c>
      <c r="Q5" s="407"/>
    </row>
    <row r="6" spans="1:17">
      <c r="A6" s="408" t="str">
        <f>IF(ISBLANK(MODULY_CBA!B3),"",MODULY_CBA!B3)</f>
        <v>Distribučné služby – poskytovanie údajov</v>
      </c>
      <c r="B6" s="408">
        <f t="shared" ref="B6:B26" si="1">SUM(C6*C$5,D6*D$5,E6*E$5,F6*F$5,G6*G$5,H6*H$5,I6*I$5,J6*J$5,K6*K$5,L6*L$5,M6*M$5,N6*N$5,O6*O$5,P6*P$5)</f>
        <v>27</v>
      </c>
      <c r="C6" s="472">
        <v>1</v>
      </c>
      <c r="D6" s="472">
        <v>1</v>
      </c>
      <c r="E6" s="472">
        <v>1</v>
      </c>
      <c r="F6" s="472"/>
      <c r="G6" s="472"/>
      <c r="H6" s="472"/>
      <c r="I6" s="472"/>
      <c r="J6" s="472"/>
      <c r="K6" s="472"/>
      <c r="L6" s="472"/>
      <c r="M6" s="472"/>
      <c r="N6" s="472"/>
      <c r="O6" s="472"/>
      <c r="P6" s="472"/>
      <c r="Q6" s="407"/>
    </row>
    <row r="7" spans="1:17">
      <c r="A7" s="408" t="str">
        <f>IF(ISBLANK(MODULY_CBA!B4),"",MODULY_CBA!B4)</f>
        <v>Prehliadanie údajov (koncová služba) – základ</v>
      </c>
      <c r="B7" s="408">
        <f t="shared" si="1"/>
        <v>27</v>
      </c>
      <c r="C7" s="472">
        <v>1</v>
      </c>
      <c r="D7" s="472">
        <v>1</v>
      </c>
      <c r="E7" s="472">
        <v>1</v>
      </c>
      <c r="F7" s="472"/>
      <c r="G7" s="472"/>
      <c r="H7" s="472"/>
      <c r="I7" s="472"/>
      <c r="J7" s="472"/>
      <c r="K7" s="472"/>
      <c r="L7" s="472"/>
      <c r="M7" s="472"/>
      <c r="N7" s="472"/>
      <c r="O7" s="472"/>
      <c r="P7" s="472"/>
      <c r="Q7" s="407"/>
    </row>
    <row r="8" spans="1:17">
      <c r="A8" s="408" t="str">
        <f>IF(ISBLANK(MODULY_CBA!B5),"",MODULY_CBA!B5)</f>
        <v>Služba požiadaviek na 3D mapovanie (koncová služba)</v>
      </c>
      <c r="B8" s="408">
        <f t="shared" si="1"/>
        <v>27</v>
      </c>
      <c r="C8" s="472">
        <v>1</v>
      </c>
      <c r="D8" s="472">
        <v>1</v>
      </c>
      <c r="E8" s="472">
        <v>1</v>
      </c>
      <c r="F8" s="472"/>
      <c r="G8" s="472"/>
      <c r="H8" s="472"/>
      <c r="I8" s="472"/>
      <c r="J8" s="472"/>
      <c r="K8" s="472"/>
      <c r="L8" s="472"/>
      <c r="M8" s="472"/>
      <c r="N8" s="472"/>
      <c r="O8" s="472"/>
      <c r="P8" s="472"/>
      <c r="Q8" s="407"/>
    </row>
    <row r="9" spans="1:17">
      <c r="A9" s="408" t="str">
        <f>IF(ISBLANK(MODULY_CBA!B6),"",MODULY_CBA!B6)</f>
        <v>Interné služby – automatizovaná správa údajov (základ)</v>
      </c>
      <c r="B9" s="408">
        <f t="shared" si="1"/>
        <v>0</v>
      </c>
      <c r="C9" s="472"/>
      <c r="D9" s="472"/>
      <c r="E9" s="472"/>
      <c r="F9" s="472"/>
      <c r="G9" s="472"/>
      <c r="H9" s="472"/>
      <c r="I9" s="472"/>
      <c r="J9" s="472"/>
      <c r="K9" s="472"/>
      <c r="L9" s="472"/>
      <c r="M9" s="472"/>
      <c r="N9" s="472"/>
      <c r="O9" s="472"/>
      <c r="P9" s="472"/>
      <c r="Q9" s="407"/>
    </row>
    <row r="10" spans="1:17">
      <c r="A10" s="408" t="str">
        <f>IF(ISBLANK(MODULY_CBA!B7),"",MODULY_CBA!B7)</f>
        <v>Distribučné služby – rozšírenie o 3D vektor LOD2.x</v>
      </c>
      <c r="B10" s="408">
        <f t="shared" si="1"/>
        <v>0</v>
      </c>
      <c r="C10" s="472"/>
      <c r="D10" s="472"/>
      <c r="E10" s="472"/>
      <c r="F10" s="472"/>
      <c r="G10" s="472"/>
      <c r="H10" s="472"/>
      <c r="I10" s="472"/>
      <c r="J10" s="472"/>
      <c r="K10" s="472"/>
      <c r="L10" s="472"/>
      <c r="M10" s="472"/>
      <c r="N10" s="472"/>
      <c r="O10" s="472"/>
      <c r="P10" s="472"/>
      <c r="Q10" s="407"/>
    </row>
    <row r="11" spans="1:17">
      <c r="A11" s="408" t="str">
        <f>IF(ISBLANK(MODULY_CBA!B8),"",MODULY_CBA!B8)</f>
        <v>Prehliadanie 3D údajov + základné analýzy (koncová služba)</v>
      </c>
      <c r="B11" s="408">
        <f t="shared" si="1"/>
        <v>0</v>
      </c>
      <c r="C11" s="472"/>
      <c r="D11" s="472"/>
      <c r="E11" s="472"/>
      <c r="F11" s="472"/>
      <c r="G11" s="472"/>
      <c r="H11" s="472"/>
      <c r="I11" s="472"/>
      <c r="J11" s="472"/>
      <c r="K11" s="472"/>
      <c r="L11" s="472"/>
      <c r="M11" s="472"/>
      <c r="N11" s="472"/>
      <c r="O11" s="472"/>
      <c r="P11" s="472"/>
      <c r="Q11" s="407"/>
    </row>
    <row r="12" spans="1:17">
      <c r="A12" s="408" t="str">
        <f>IF(ISBLANK(MODULY_CBA!B9),"",MODULY_CBA!B9)</f>
        <v>Online vytváranie a dopĺňanie 3D údajov (koncová služba)</v>
      </c>
      <c r="B12" s="408">
        <f t="shared" si="1"/>
        <v>0</v>
      </c>
      <c r="C12" s="472"/>
      <c r="D12" s="472"/>
      <c r="E12" s="472"/>
      <c r="F12" s="472"/>
      <c r="G12" s="472"/>
      <c r="H12" s="472"/>
      <c r="I12" s="472"/>
      <c r="J12" s="472"/>
      <c r="K12" s="472"/>
      <c r="L12" s="472"/>
      <c r="M12" s="472"/>
      <c r="N12" s="472"/>
      <c r="O12" s="472"/>
      <c r="P12" s="472"/>
      <c r="Q12" s="407"/>
    </row>
    <row r="13" spans="1:17">
      <c r="A13" s="408" t="str">
        <f>IF(ISBLANK(MODULY_CBA!B10),"",MODULY_CBA!B10)</f>
        <v>Validácia a zápis do databázy (autorizované údaje)</v>
      </c>
      <c r="B13" s="408">
        <f t="shared" si="1"/>
        <v>0</v>
      </c>
      <c r="C13" s="472"/>
      <c r="D13" s="472"/>
      <c r="E13" s="472"/>
      <c r="F13" s="472"/>
      <c r="G13" s="472"/>
      <c r="H13" s="472"/>
      <c r="I13" s="472"/>
      <c r="J13" s="472"/>
      <c r="K13" s="472"/>
      <c r="L13" s="472"/>
      <c r="M13" s="472"/>
      <c r="N13" s="472"/>
      <c r="O13" s="472"/>
      <c r="P13" s="472"/>
      <c r="Q13" s="407"/>
    </row>
    <row r="14" spans="1:17">
      <c r="A14" s="408" t="str">
        <f>IF(ISBLANK(MODULY_CBA!B11),"",MODULY_CBA!B11)</f>
        <v>Podpora stavebného konania (DOK) – koncová služba</v>
      </c>
      <c r="B14" s="408">
        <f t="shared" si="1"/>
        <v>0</v>
      </c>
      <c r="C14" s="472"/>
      <c r="D14" s="472"/>
      <c r="E14" s="472"/>
      <c r="F14" s="472"/>
      <c r="G14" s="472"/>
      <c r="H14" s="472"/>
      <c r="I14" s="472"/>
      <c r="J14" s="472"/>
      <c r="K14" s="472"/>
      <c r="L14" s="472"/>
      <c r="M14" s="472"/>
      <c r="N14" s="472"/>
      <c r="O14" s="472"/>
      <c r="P14" s="472"/>
      <c r="Q14" s="407"/>
    </row>
    <row r="15" spans="1:17">
      <c r="A15" s="408" t="str">
        <f>IF(ISBLANK(MODULY_CBA!B12),"",MODULY_CBA!B12)</f>
        <v>Vloženie porealizačných údajov nových stavieb</v>
      </c>
      <c r="B15" s="408">
        <f t="shared" si="1"/>
        <v>0</v>
      </c>
      <c r="C15" s="472"/>
      <c r="D15" s="472"/>
      <c r="E15" s="472"/>
      <c r="F15" s="472"/>
      <c r="G15" s="472"/>
      <c r="H15" s="472"/>
      <c r="I15" s="472"/>
      <c r="J15" s="472"/>
      <c r="K15" s="472"/>
      <c r="L15" s="472"/>
      <c r="M15" s="472"/>
      <c r="N15" s="472"/>
      <c r="O15" s="472"/>
      <c r="P15" s="472"/>
      <c r="Q15" s="407"/>
    </row>
    <row r="16" spans="1:17">
      <c r="A16" s="408" t="str">
        <f>IF(ISBLANK(MODULY_CBA!B13),"",MODULY_CBA!B13)</f>
        <v>Rozšírenie interných funkcií pre katalóg a publikovanie</v>
      </c>
      <c r="B16" s="408">
        <f t="shared" si="1"/>
        <v>0</v>
      </c>
      <c r="C16" s="472"/>
      <c r="D16" s="472"/>
      <c r="E16" s="472"/>
      <c r="F16" s="472"/>
      <c r="G16" s="472"/>
      <c r="H16" s="472"/>
      <c r="I16" s="472"/>
      <c r="J16" s="472"/>
      <c r="K16" s="472"/>
      <c r="L16" s="472"/>
      <c r="M16" s="472"/>
      <c r="N16" s="472"/>
      <c r="O16" s="472"/>
      <c r="P16" s="472"/>
      <c r="Q16" s="407"/>
    </row>
    <row r="17" spans="1:17">
      <c r="A17" s="408" t="str">
        <f>IF(ISBLANK(MODULY_CBA!B14),"",MODULY_CBA!B14)</f>
        <v>Rozšírenie správy používateľov a prístupov (funkčne)</v>
      </c>
      <c r="B17" s="408">
        <f t="shared" si="1"/>
        <v>0</v>
      </c>
      <c r="C17" s="472"/>
      <c r="D17" s="472"/>
      <c r="E17" s="472"/>
      <c r="F17" s="472"/>
      <c r="G17" s="472"/>
      <c r="H17" s="472"/>
      <c r="I17" s="472"/>
      <c r="J17" s="472"/>
      <c r="K17" s="472"/>
      <c r="L17" s="472"/>
      <c r="M17" s="472"/>
      <c r="N17" s="472"/>
      <c r="O17" s="472"/>
      <c r="P17" s="472"/>
      <c r="Q17" s="407"/>
    </row>
    <row r="18" spans="1:17">
      <c r="A18" s="408" t="str">
        <f>IF(ISBLANK(MODULY_CBA!B15),"",MODULY_CBA!B15)</f>
        <v>Kvalita, konzistencia, verzovanie (funkčné prvky)</v>
      </c>
      <c r="B18" s="408">
        <f t="shared" si="1"/>
        <v>0</v>
      </c>
      <c r="C18" s="472"/>
      <c r="D18" s="472"/>
      <c r="E18" s="472"/>
      <c r="F18" s="472"/>
      <c r="G18" s="472"/>
      <c r="H18" s="472"/>
      <c r="I18" s="472"/>
      <c r="J18" s="472"/>
      <c r="K18" s="472"/>
      <c r="L18" s="472"/>
      <c r="M18" s="472"/>
      <c r="N18" s="472"/>
      <c r="O18" s="472"/>
      <c r="P18" s="472"/>
      <c r="Q18" s="407"/>
    </row>
    <row r="19" spans="1:17">
      <c r="A19" s="408" t="str">
        <f>IF(ISBLANK(MODULY_CBA!B16),"",MODULY_CBA!B16)</f>
        <v>Distribúcia – škálovanie a automatizácia</v>
      </c>
      <c r="B19" s="408">
        <f t="shared" si="1"/>
        <v>0</v>
      </c>
      <c r="C19" s="472"/>
      <c r="D19" s="472"/>
      <c r="E19" s="472"/>
      <c r="F19" s="472"/>
      <c r="G19" s="472"/>
      <c r="H19" s="472"/>
      <c r="I19" s="472"/>
      <c r="J19" s="472"/>
      <c r="K19" s="472"/>
      <c r="L19" s="472"/>
      <c r="M19" s="472"/>
      <c r="N19" s="472"/>
      <c r="O19" s="472"/>
      <c r="P19" s="472"/>
      <c r="Q19" s="407"/>
    </row>
    <row r="20" spans="1:17">
      <c r="A20" s="408" t="str">
        <f>IF(ISBLANK(MODULY_CBA!B17),"",MODULY_CBA!B17)</f>
        <v>Prehliadanie a analýzy – pokročilé</v>
      </c>
      <c r="B20" s="408">
        <f t="shared" si="1"/>
        <v>0</v>
      </c>
      <c r="C20" s="472"/>
      <c r="D20" s="472"/>
      <c r="E20" s="472"/>
      <c r="F20" s="472"/>
      <c r="G20" s="472"/>
      <c r="H20" s="472"/>
      <c r="I20" s="472"/>
      <c r="J20" s="472"/>
      <c r="K20" s="472"/>
      <c r="L20" s="472"/>
      <c r="M20" s="472"/>
      <c r="N20" s="472"/>
      <c r="O20" s="472"/>
      <c r="P20" s="472"/>
      <c r="Q20" s="407"/>
    </row>
    <row r="21" spans="1:17">
      <c r="A21" s="408" t="str">
        <f>IF(ISBLANK(MODULY_CBA!B18),"",MODULY_CBA!B18)</f>
        <v>Online tvorba a import – škálovanie</v>
      </c>
      <c r="B21" s="408">
        <f t="shared" si="1"/>
        <v>0</v>
      </c>
      <c r="C21" s="472"/>
      <c r="D21" s="472"/>
      <c r="E21" s="472"/>
      <c r="F21" s="472"/>
      <c r="G21" s="472"/>
      <c r="H21" s="472"/>
      <c r="I21" s="472"/>
      <c r="J21" s="472"/>
      <c r="K21" s="472"/>
      <c r="L21" s="472"/>
      <c r="M21" s="472"/>
      <c r="N21" s="472"/>
      <c r="O21" s="472"/>
      <c r="P21" s="472"/>
      <c r="Q21" s="407"/>
    </row>
    <row r="22" spans="1:17">
      <c r="A22" s="408" t="str">
        <f>IF(ISBLANK(MODULY_CBA!B19),"",MODULY_CBA!B19)</f>
        <v>Podpora stavebného konania – integrácie a audit</v>
      </c>
      <c r="B22" s="408">
        <f t="shared" si="1"/>
        <v>0</v>
      </c>
      <c r="C22" s="472"/>
      <c r="D22" s="472"/>
      <c r="E22" s="472"/>
      <c r="F22" s="472"/>
      <c r="G22" s="472"/>
      <c r="H22" s="472"/>
      <c r="I22" s="472"/>
      <c r="J22" s="472"/>
      <c r="K22" s="472"/>
      <c r="L22" s="472"/>
      <c r="M22" s="472"/>
      <c r="N22" s="472"/>
      <c r="O22" s="472"/>
      <c r="P22" s="472"/>
      <c r="Q22" s="407"/>
    </row>
    <row r="23" spans="1:17">
      <c r="A23" s="408" t="str">
        <f>IF(ISBLANK(MODULY_CBA!B20),"",MODULY_CBA!B20)</f>
        <v>Automatizovaná správa údajov – metadáta, indexácia, archív</v>
      </c>
      <c r="B23" s="408">
        <f t="shared" si="1"/>
        <v>0</v>
      </c>
      <c r="C23" s="472"/>
      <c r="D23" s="472"/>
      <c r="E23" s="472"/>
      <c r="F23" s="472"/>
      <c r="G23" s="472"/>
      <c r="H23" s="472"/>
      <c r="I23" s="472"/>
      <c r="J23" s="472"/>
      <c r="K23" s="472"/>
      <c r="L23" s="472"/>
      <c r="M23" s="472"/>
      <c r="N23" s="472"/>
      <c r="O23" s="472"/>
      <c r="P23" s="472"/>
      <c r="Q23" s="407"/>
    </row>
    <row r="24" spans="1:17">
      <c r="A24" s="408" t="str">
        <f>IF(ISBLANK(MODULY_CBA!B21),"",MODULY_CBA!B21)</f>
        <v>Plánovanie zberu údajov (interná služba)</v>
      </c>
      <c r="B24" s="408">
        <f t="shared" si="1"/>
        <v>0</v>
      </c>
      <c r="C24" s="472"/>
      <c r="D24" s="472"/>
      <c r="E24" s="472"/>
      <c r="F24" s="472"/>
      <c r="G24" s="472"/>
      <c r="H24" s="472"/>
      <c r="I24" s="472"/>
      <c r="J24" s="472"/>
      <c r="K24" s="472"/>
      <c r="L24" s="472"/>
      <c r="M24" s="472"/>
      <c r="N24" s="472"/>
      <c r="O24" s="472"/>
      <c r="P24" s="472"/>
      <c r="Q24" s="407"/>
    </row>
    <row r="25" spans="1:17">
      <c r="A25" s="408" t="str">
        <f>IF(ISBLANK(MODULY_CBA!B22),"",MODULY_CBA!B22)</f>
        <v>Reporty a exporty pre riadenie (funkčne)</v>
      </c>
      <c r="B25" s="408">
        <f t="shared" si="1"/>
        <v>0</v>
      </c>
      <c r="C25" s="472"/>
      <c r="D25" s="472"/>
      <c r="E25" s="472"/>
      <c r="F25" s="472"/>
      <c r="G25" s="472"/>
      <c r="H25" s="472"/>
      <c r="I25" s="472"/>
      <c r="J25" s="472"/>
      <c r="K25" s="472"/>
      <c r="L25" s="472"/>
      <c r="M25" s="472"/>
      <c r="N25" s="472"/>
      <c r="O25" s="472"/>
      <c r="P25" s="472"/>
      <c r="Q25" s="407"/>
    </row>
    <row r="26" spans="1:17">
      <c r="A26" s="408" t="str">
        <f>IF(ISBLANK(MODULY_CBA!B23),"",MODULY_CBA!B23)</f>
        <v/>
      </c>
      <c r="B26" s="408">
        <f t="shared" si="1"/>
        <v>0</v>
      </c>
      <c r="C26" s="472"/>
      <c r="D26" s="472"/>
      <c r="E26" s="472"/>
      <c r="F26" s="472"/>
      <c r="G26" s="472"/>
      <c r="H26" s="472"/>
      <c r="I26" s="472"/>
      <c r="J26" s="472"/>
      <c r="K26" s="472"/>
      <c r="L26" s="472"/>
      <c r="M26" s="472"/>
      <c r="N26" s="472"/>
      <c r="O26" s="472"/>
      <c r="P26" s="472"/>
      <c r="Q26" s="407"/>
    </row>
  </sheetData>
  <mergeCells count="1">
    <mergeCell ref="A1:A5"/>
  </mergeCells>
  <dataValidations count="2">
    <dataValidation type="list" allowBlank="1" showInputMessage="1" showErrorMessage="1" sqref="C2:P2" xr:uid="{00000000-0002-0000-0E00-000000000000}">
      <formula1>Subjekt</formula1>
    </dataValidation>
    <dataValidation type="list" allowBlank="1" showInputMessage="1" showErrorMessage="1" sqref="C3:P3" xr:uid="{00000000-0002-0000-0E00-000001000000}">
      <formula1>"1,2,3"</formula1>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8">
    <tabColor rgb="FF00B050"/>
  </sheetPr>
  <dimension ref="A1:X64"/>
  <sheetViews>
    <sheetView zoomScale="110" zoomScaleNormal="80" workbookViewId="0">
      <pane ySplit="3" topLeftCell="A4" activePane="bottomLeft" state="frozen"/>
      <selection activeCell="J3" sqref="J3:J11"/>
      <selection pane="bottomLeft" activeCell="S3" sqref="S3"/>
    </sheetView>
  </sheetViews>
  <sheetFormatPr defaultColWidth="8.85546875" defaultRowHeight="15"/>
  <cols>
    <col min="1" max="1" width="31.42578125" style="365" customWidth="1"/>
    <col min="2" max="2" width="10.7109375" style="365" customWidth="1"/>
    <col min="3" max="3" width="10.7109375" style="365" hidden="1" customWidth="1"/>
    <col min="4" max="4" width="10.7109375" style="365" customWidth="1"/>
    <col min="5" max="5" width="15.42578125" style="365" customWidth="1"/>
    <col min="6" max="6" width="28.28515625" style="365" customWidth="1"/>
    <col min="7" max="7" width="28.28515625" style="365" hidden="1" customWidth="1"/>
    <col min="8" max="8" width="28.28515625" style="365" customWidth="1"/>
    <col min="9" max="9" width="13.140625" style="365" bestFit="1" customWidth="1"/>
    <col min="10" max="10" width="11.28515625" style="365" customWidth="1"/>
    <col min="11" max="11" width="10.7109375" style="365" bestFit="1" customWidth="1"/>
    <col min="12" max="12" width="10" style="365" customWidth="1"/>
    <col min="13" max="13" width="16.7109375" style="365" customWidth="1"/>
    <col min="14" max="14" width="10.28515625" style="365" bestFit="1" customWidth="1"/>
    <col min="15" max="16" width="8.85546875" style="365"/>
    <col min="17" max="17" width="43.140625" style="365" customWidth="1"/>
    <col min="18" max="18" width="16.140625" style="365" customWidth="1"/>
    <col min="19" max="19" width="13.7109375" style="365" customWidth="1"/>
    <col min="20" max="20" width="12.28515625" style="365" bestFit="1" customWidth="1"/>
    <col min="21" max="23" width="12.28515625" style="365" customWidth="1"/>
    <col min="24" max="24" width="20.140625" style="365" customWidth="1"/>
    <col min="25" max="16384" width="8.85546875" style="365"/>
  </cols>
  <sheetData>
    <row r="1" spans="1:24">
      <c r="F1" s="789" t="s">
        <v>777</v>
      </c>
      <c r="G1" s="789"/>
      <c r="H1" s="789"/>
      <c r="I1" s="789"/>
      <c r="J1" s="789"/>
      <c r="K1" s="431">
        <f>SUM(K4:K33)</f>
        <v>11315</v>
      </c>
      <c r="M1" s="433">
        <f>SUM(M4:M39)</f>
        <v>5181923</v>
      </c>
    </row>
    <row r="2" spans="1:24">
      <c r="D2" s="432">
        <f>SUM(D3:D39)</f>
        <v>11665</v>
      </c>
      <c r="F2" s="790" t="s">
        <v>778</v>
      </c>
      <c r="G2" s="790"/>
      <c r="H2" s="790"/>
      <c r="I2" s="790"/>
      <c r="J2" s="790"/>
      <c r="K2" s="431">
        <f>SUM(K41:K64)</f>
        <v>0</v>
      </c>
      <c r="M2" s="433">
        <f>SUM(M41:M64)</f>
        <v>0</v>
      </c>
    </row>
    <row r="3" spans="1:24" s="470" customFormat="1" ht="60">
      <c r="A3" s="468" t="s">
        <v>772</v>
      </c>
      <c r="B3" s="469" t="s">
        <v>265</v>
      </c>
      <c r="C3" s="469" t="s">
        <v>730</v>
      </c>
      <c r="D3" s="469" t="s">
        <v>417</v>
      </c>
      <c r="E3" s="469" t="s">
        <v>416</v>
      </c>
      <c r="F3" s="469" t="s">
        <v>399</v>
      </c>
      <c r="G3" s="469" t="s">
        <v>704</v>
      </c>
      <c r="H3" s="469" t="s">
        <v>695</v>
      </c>
      <c r="I3" s="469" t="s">
        <v>696</v>
      </c>
      <c r="J3" s="469" t="s">
        <v>775</v>
      </c>
      <c r="K3" s="469" t="s">
        <v>266</v>
      </c>
      <c r="L3" s="469" t="s">
        <v>724</v>
      </c>
      <c r="M3" s="469" t="s">
        <v>725</v>
      </c>
      <c r="Q3" s="467" t="s">
        <v>761</v>
      </c>
      <c r="R3" s="467" t="s">
        <v>677</v>
      </c>
      <c r="S3" s="467" t="s">
        <v>1324</v>
      </c>
      <c r="T3" s="467" t="s">
        <v>779</v>
      </c>
      <c r="U3" s="467" t="s">
        <v>413</v>
      </c>
      <c r="V3" s="467" t="s">
        <v>418</v>
      </c>
      <c r="W3" s="467" t="s">
        <v>762</v>
      </c>
      <c r="X3" s="467" t="s">
        <v>412</v>
      </c>
    </row>
    <row r="4" spans="1:24">
      <c r="A4" s="370" t="s">
        <v>263</v>
      </c>
      <c r="B4" s="541">
        <v>0.25</v>
      </c>
      <c r="C4" s="540">
        <f>SUM(K4:K15)/$K$1</f>
        <v>0.25779938135218738</v>
      </c>
      <c r="D4" s="473">
        <f>B4*SUM(MODULY_CBA!$J$3:$J$23)</f>
        <v>2916.25</v>
      </c>
      <c r="E4" s="474">
        <f>IFERROR(SUM(M4:M15)/SUM(K4:K15),0)</f>
        <v>465.27905382242028</v>
      </c>
      <c r="F4" s="539" t="s">
        <v>400</v>
      </c>
      <c r="G4" s="539" t="str">
        <f>IFERROR(VLOOKUP(F4,ISCO_Prevodnik!$A$10:$B$21,2,0),"")</f>
        <v>IT_architekt</v>
      </c>
      <c r="H4" s="539" t="s">
        <v>688</v>
      </c>
      <c r="I4" s="539">
        <f>IFERROR(VLOOKUP(H4,ISCO_Prevodnik!$E$10:$F$31,2,0),"")</f>
        <v>2511002</v>
      </c>
      <c r="J4" s="540">
        <v>0.15</v>
      </c>
      <c r="K4" s="473">
        <f>ROUND(J4*$D$4,0)</f>
        <v>437</v>
      </c>
      <c r="L4" s="481">
        <f>IFERROR(VLOOKUP(F4,$Q$4:$R$27,2,0),0)</f>
        <v>499</v>
      </c>
      <c r="M4" s="475">
        <f>K4*L4</f>
        <v>218063</v>
      </c>
      <c r="N4" s="498"/>
      <c r="Q4" s="422" t="s">
        <v>400</v>
      </c>
      <c r="R4" s="542">
        <v>499</v>
      </c>
      <c r="S4" s="655">
        <v>499</v>
      </c>
      <c r="T4" s="423">
        <v>0.1</v>
      </c>
      <c r="U4" s="425">
        <f>SUMIF($F$4:$F$64,Q4,$K$4:$K$64)</f>
        <v>874</v>
      </c>
      <c r="V4" s="423">
        <f t="shared" ref="V4:V15" si="0">IF(U4=0,0%,U4/SUM($U$4:$U$15))</f>
        <v>7.4931412894375854E-2</v>
      </c>
      <c r="W4" s="423" t="str">
        <f t="shared" ref="W4:W15" si="1">IFERROR(IF(U4/SUM($U$4:$U$15)&gt;T4,"NAD","OK"),"")</f>
        <v>OK</v>
      </c>
      <c r="X4" s="424"/>
    </row>
    <row r="5" spans="1:24">
      <c r="A5" s="367"/>
      <c r="B5" s="367"/>
      <c r="C5" s="367"/>
      <c r="D5" s="367"/>
      <c r="E5" s="367"/>
      <c r="F5" s="539" t="s">
        <v>401</v>
      </c>
      <c r="G5" s="539" t="str">
        <f>IFERROR(VLOOKUP(F5,ISCO_Prevodnik!$A$10:$B$21,2,0),"")</f>
        <v>IT_tester</v>
      </c>
      <c r="H5" s="539" t="s">
        <v>401</v>
      </c>
      <c r="I5" s="539">
        <f>IFERROR(VLOOKUP(H5,ISCO_Prevodnik!$E$10:$F$31,2,0),"")</f>
        <v>2519001</v>
      </c>
      <c r="J5" s="540">
        <v>0.05</v>
      </c>
      <c r="K5" s="473">
        <f t="shared" ref="K5:K15" si="2">ROUND(J5*$D$4,0)</f>
        <v>146</v>
      </c>
      <c r="L5" s="481">
        <f t="shared" ref="L5:L39" si="3">IFERROR(VLOOKUP(F5,$Q$4:$R$27,2,0),0)</f>
        <v>397</v>
      </c>
      <c r="M5" s="475">
        <f>K5*L5</f>
        <v>57962</v>
      </c>
      <c r="Q5" s="422" t="s">
        <v>401</v>
      </c>
      <c r="R5" s="542">
        <v>397</v>
      </c>
      <c r="S5" s="655">
        <v>397</v>
      </c>
      <c r="T5" s="423">
        <v>0.15</v>
      </c>
      <c r="U5" s="425">
        <f t="shared" ref="U5:U27" si="4">SUMIF($F$4:$F$64,Q5,$K$4:$K$64)</f>
        <v>1476</v>
      </c>
      <c r="V5" s="423">
        <f t="shared" si="0"/>
        <v>0.12654320987654322</v>
      </c>
      <c r="W5" s="423" t="str">
        <f t="shared" si="1"/>
        <v>OK</v>
      </c>
      <c r="X5" s="424"/>
    </row>
    <row r="6" spans="1:24">
      <c r="A6" s="367"/>
      <c r="B6" s="367"/>
      <c r="C6" s="367"/>
      <c r="D6" s="367"/>
      <c r="E6" s="367"/>
      <c r="F6" s="539" t="s">
        <v>402</v>
      </c>
      <c r="G6" s="539" t="str">
        <f>IFERROR(VLOOKUP(F6,ISCO_Prevodnik!$A$10:$B$21,2,0),"")</f>
        <v>IT_programator</v>
      </c>
      <c r="H6" s="539" t="s">
        <v>686</v>
      </c>
      <c r="I6" s="539">
        <f>IFERROR(VLOOKUP(H6,ISCO_Prevodnik!$E$10:$F$31,2,0),"")</f>
        <v>2512002</v>
      </c>
      <c r="J6" s="540">
        <v>0.05</v>
      </c>
      <c r="K6" s="473">
        <f t="shared" si="2"/>
        <v>146</v>
      </c>
      <c r="L6" s="481">
        <f t="shared" si="3"/>
        <v>419</v>
      </c>
      <c r="M6" s="475">
        <f t="shared" ref="M6:M33" si="5">K6*L6</f>
        <v>61174</v>
      </c>
      <c r="Q6" s="422" t="s">
        <v>402</v>
      </c>
      <c r="R6" s="542">
        <v>419</v>
      </c>
      <c r="S6" s="656">
        <v>419</v>
      </c>
      <c r="T6" s="423">
        <v>0.6</v>
      </c>
      <c r="U6" s="425">
        <f t="shared" si="4"/>
        <v>3646</v>
      </c>
      <c r="V6" s="423">
        <f t="shared" si="0"/>
        <v>0.3125857338820302</v>
      </c>
      <c r="W6" s="423" t="str">
        <f t="shared" si="1"/>
        <v>OK</v>
      </c>
      <c r="X6" s="424"/>
    </row>
    <row r="7" spans="1:24">
      <c r="A7" s="367"/>
      <c r="B7" s="367"/>
      <c r="C7" s="367"/>
      <c r="D7" s="367"/>
      <c r="E7" s="367"/>
      <c r="F7" s="539" t="s">
        <v>403</v>
      </c>
      <c r="G7" s="539" t="str">
        <f>IFERROR(VLOOKUP(F7,ISCO_Prevodnik!$A$10:$B$21,2,0),"")</f>
        <v>Projektovy_manazer</v>
      </c>
      <c r="H7" s="539" t="s">
        <v>684</v>
      </c>
      <c r="I7" s="539">
        <f>IFERROR(VLOOKUP(H7,ISCO_Prevodnik!$E$10:$F$31,2,0),"")</f>
        <v>1330001</v>
      </c>
      <c r="J7" s="540">
        <v>0.04</v>
      </c>
      <c r="K7" s="473">
        <f t="shared" si="2"/>
        <v>117</v>
      </c>
      <c r="L7" s="481">
        <f t="shared" si="3"/>
        <v>500</v>
      </c>
      <c r="M7" s="475">
        <f t="shared" si="5"/>
        <v>58500</v>
      </c>
      <c r="Q7" s="422" t="s">
        <v>403</v>
      </c>
      <c r="R7" s="542">
        <v>500</v>
      </c>
      <c r="S7" s="656">
        <v>500</v>
      </c>
      <c r="T7" s="423">
        <v>0.04</v>
      </c>
      <c r="U7" s="425">
        <f t="shared" si="4"/>
        <v>449</v>
      </c>
      <c r="V7" s="423">
        <f t="shared" si="0"/>
        <v>3.8494513031550069E-2</v>
      </c>
      <c r="W7" s="423" t="str">
        <f t="shared" si="1"/>
        <v>OK</v>
      </c>
      <c r="X7" s="424"/>
    </row>
    <row r="8" spans="1:24">
      <c r="A8" s="367"/>
      <c r="B8" s="367"/>
      <c r="C8" s="367"/>
      <c r="D8" s="367"/>
      <c r="E8" s="367"/>
      <c r="F8" s="539" t="s">
        <v>404</v>
      </c>
      <c r="G8" s="539" t="str">
        <f>IFERROR(VLOOKUP(F8,ISCO_Prevodnik!$A$10:$B$21,2,0),"")</f>
        <v>IT_analytik</v>
      </c>
      <c r="H8" s="539" t="s">
        <v>687</v>
      </c>
      <c r="I8" s="539">
        <f>IFERROR(VLOOKUP(H8,ISCO_Prevodnik!$E$10:$F$31,2,0),"")</f>
        <v>2511003</v>
      </c>
      <c r="J8" s="540">
        <v>0.36</v>
      </c>
      <c r="K8" s="473">
        <f t="shared" si="2"/>
        <v>1050</v>
      </c>
      <c r="L8" s="481">
        <f t="shared" si="3"/>
        <v>483</v>
      </c>
      <c r="M8" s="475">
        <f t="shared" si="5"/>
        <v>507150</v>
      </c>
      <c r="Q8" s="422" t="s">
        <v>404</v>
      </c>
      <c r="R8" s="542">
        <v>483</v>
      </c>
      <c r="S8" s="656">
        <v>483</v>
      </c>
      <c r="T8" s="423">
        <v>0.5</v>
      </c>
      <c r="U8" s="425">
        <f t="shared" si="4"/>
        <v>2012</v>
      </c>
      <c r="V8" s="423">
        <f t="shared" si="0"/>
        <v>0.17249657064471879</v>
      </c>
      <c r="W8" s="423" t="str">
        <f t="shared" si="1"/>
        <v>OK</v>
      </c>
      <c r="X8" s="424"/>
    </row>
    <row r="9" spans="1:24">
      <c r="A9" s="367"/>
      <c r="B9" s="367"/>
      <c r="C9" s="367"/>
      <c r="D9" s="367"/>
      <c r="E9" s="367"/>
      <c r="F9" s="539" t="s">
        <v>405</v>
      </c>
      <c r="G9" s="539" t="str">
        <f>IFERROR(VLOOKUP(F9,ISCO_Prevodnik!$A$10:$B$21,2,0),"")</f>
        <v>Kvalita</v>
      </c>
      <c r="H9" s="539" t="s">
        <v>690</v>
      </c>
      <c r="I9" s="539">
        <f>IFERROR(VLOOKUP(H9,ISCO_Prevodnik!$E$10:$F$31,2,0),"")</f>
        <v>2421002</v>
      </c>
      <c r="J9" s="540">
        <v>0.05</v>
      </c>
      <c r="K9" s="473">
        <f t="shared" si="2"/>
        <v>146</v>
      </c>
      <c r="L9" s="481">
        <f t="shared" si="3"/>
        <v>457</v>
      </c>
      <c r="M9" s="475">
        <f t="shared" si="5"/>
        <v>66722</v>
      </c>
      <c r="Q9" s="422" t="s">
        <v>405</v>
      </c>
      <c r="R9" s="542">
        <v>457</v>
      </c>
      <c r="S9" s="656">
        <v>457</v>
      </c>
      <c r="T9" s="423">
        <v>0.05</v>
      </c>
      <c r="U9" s="425">
        <f t="shared" si="4"/>
        <v>583</v>
      </c>
      <c r="V9" s="423">
        <f t="shared" si="0"/>
        <v>4.9982853223593963E-2</v>
      </c>
      <c r="W9" s="423" t="str">
        <f t="shared" si="1"/>
        <v>OK</v>
      </c>
      <c r="X9" s="424"/>
    </row>
    <row r="10" spans="1:24">
      <c r="A10" s="367"/>
      <c r="B10" s="367"/>
      <c r="C10" s="367"/>
      <c r="D10" s="367"/>
      <c r="E10" s="367"/>
      <c r="F10" s="539" t="s">
        <v>406</v>
      </c>
      <c r="G10" s="539" t="str">
        <f>IFERROR(VLOOKUP(F10,ISCO_Prevodnik!$A$10:$B$21,2,0),"")</f>
        <v>Bezpecnost</v>
      </c>
      <c r="H10" s="539" t="s">
        <v>693</v>
      </c>
      <c r="I10" s="539">
        <f>IFERROR(VLOOKUP(H10,ISCO_Prevodnik!$E$10:$F$31,2,0),"")</f>
        <v>2529001</v>
      </c>
      <c r="J10" s="540">
        <v>0.05</v>
      </c>
      <c r="K10" s="473">
        <f t="shared" si="2"/>
        <v>146</v>
      </c>
      <c r="L10" s="481">
        <f t="shared" si="3"/>
        <v>498</v>
      </c>
      <c r="M10" s="475">
        <f t="shared" ref="M10:M15" si="6">K10*L10</f>
        <v>72708</v>
      </c>
      <c r="Q10" s="422" t="s">
        <v>406</v>
      </c>
      <c r="R10" s="542">
        <v>498</v>
      </c>
      <c r="S10" s="656">
        <v>498</v>
      </c>
      <c r="T10" s="423">
        <v>0.1</v>
      </c>
      <c r="U10" s="425">
        <f t="shared" si="4"/>
        <v>583</v>
      </c>
      <c r="V10" s="423">
        <f t="shared" si="0"/>
        <v>4.9982853223593963E-2</v>
      </c>
      <c r="W10" s="423" t="str">
        <f t="shared" si="1"/>
        <v>OK</v>
      </c>
      <c r="X10" s="424"/>
    </row>
    <row r="11" spans="1:24">
      <c r="A11" s="367"/>
      <c r="B11" s="367"/>
      <c r="C11" s="367"/>
      <c r="D11" s="367"/>
      <c r="E11" s="367"/>
      <c r="F11" s="539" t="s">
        <v>407</v>
      </c>
      <c r="G11" s="539" t="str">
        <f>IFERROR(VLOOKUP(F11,ISCO_Prevodnik!$A$10:$B$21,2,0),"")</f>
        <v>Infrastrutkura</v>
      </c>
      <c r="H11" s="539" t="s">
        <v>691</v>
      </c>
      <c r="I11" s="539">
        <f>IFERROR(VLOOKUP(H11,ISCO_Prevodnik!$E$10:$F$31,2,0),"")</f>
        <v>2523000</v>
      </c>
      <c r="J11" s="540">
        <v>0.1</v>
      </c>
      <c r="K11" s="473">
        <f t="shared" si="2"/>
        <v>292</v>
      </c>
      <c r="L11" s="481">
        <f t="shared" si="3"/>
        <v>450</v>
      </c>
      <c r="M11" s="475">
        <f t="shared" si="6"/>
        <v>131400</v>
      </c>
      <c r="Q11" s="422" t="s">
        <v>407</v>
      </c>
      <c r="R11" s="542">
        <v>450</v>
      </c>
      <c r="S11" s="656">
        <v>450</v>
      </c>
      <c r="T11" s="423">
        <v>0.3</v>
      </c>
      <c r="U11" s="425">
        <f t="shared" si="4"/>
        <v>729</v>
      </c>
      <c r="V11" s="423">
        <f t="shared" si="0"/>
        <v>6.25E-2</v>
      </c>
      <c r="W11" s="423" t="str">
        <f t="shared" si="1"/>
        <v>OK</v>
      </c>
      <c r="X11" s="424"/>
    </row>
    <row r="12" spans="1:24">
      <c r="A12" s="367"/>
      <c r="B12" s="367"/>
      <c r="C12" s="367"/>
      <c r="D12" s="367"/>
      <c r="E12" s="367"/>
      <c r="F12" s="539" t="s">
        <v>408</v>
      </c>
      <c r="G12" s="539" t="str">
        <f>IFERROR(VLOOKUP(F12,ISCO_Prevodnik!$A$10:$B$21,2,0),"")</f>
        <v>Databazy</v>
      </c>
      <c r="H12" s="539" t="s">
        <v>689</v>
      </c>
      <c r="I12" s="539">
        <f>IFERROR(VLOOKUP(H12,ISCO_Prevodnik!$E$10:$F$31,2,0),"")</f>
        <v>2521001</v>
      </c>
      <c r="J12" s="540">
        <v>0.15</v>
      </c>
      <c r="K12" s="473">
        <f t="shared" si="2"/>
        <v>437</v>
      </c>
      <c r="L12" s="481">
        <f t="shared" si="3"/>
        <v>420</v>
      </c>
      <c r="M12" s="475">
        <f t="shared" si="6"/>
        <v>183540</v>
      </c>
      <c r="Q12" s="422" t="s">
        <v>408</v>
      </c>
      <c r="R12" s="542">
        <v>420</v>
      </c>
      <c r="S12" s="656">
        <v>420</v>
      </c>
      <c r="T12" s="423">
        <v>0.15</v>
      </c>
      <c r="U12" s="425">
        <f t="shared" si="4"/>
        <v>1312</v>
      </c>
      <c r="V12" s="423">
        <f t="shared" si="0"/>
        <v>0.11248285322359397</v>
      </c>
      <c r="W12" s="423" t="str">
        <f t="shared" si="1"/>
        <v>OK</v>
      </c>
      <c r="X12" s="424"/>
    </row>
    <row r="13" spans="1:24">
      <c r="A13" s="367"/>
      <c r="B13" s="367"/>
      <c r="C13" s="367"/>
      <c r="D13" s="367"/>
      <c r="E13" s="367"/>
      <c r="F13" s="539"/>
      <c r="G13" s="539" t="str">
        <f>IFERROR(VLOOKUP(F13,ISCO_Prevodnik!$A$10:$B$21,2,0),"")</f>
        <v/>
      </c>
      <c r="H13" s="539"/>
      <c r="I13" s="539" t="str">
        <f>IFERROR(VLOOKUP(H13,ISCO_Prevodnik!$E$10:$F$31,2,0),"")</f>
        <v/>
      </c>
      <c r="J13" s="540"/>
      <c r="K13" s="473">
        <f t="shared" si="2"/>
        <v>0</v>
      </c>
      <c r="L13" s="481">
        <f t="shared" si="3"/>
        <v>0</v>
      </c>
      <c r="M13" s="475">
        <f t="shared" si="6"/>
        <v>0</v>
      </c>
      <c r="Q13" s="422" t="s">
        <v>409</v>
      </c>
      <c r="R13" s="542">
        <v>400</v>
      </c>
      <c r="S13" s="656">
        <v>400</v>
      </c>
      <c r="T13" s="423">
        <v>0.05</v>
      </c>
      <c r="U13" s="425">
        <f t="shared" si="4"/>
        <v>0</v>
      </c>
      <c r="V13" s="423">
        <f t="shared" si="0"/>
        <v>0</v>
      </c>
      <c r="W13" s="423" t="str">
        <f t="shared" si="1"/>
        <v>OK</v>
      </c>
      <c r="X13" s="424"/>
    </row>
    <row r="14" spans="1:24">
      <c r="A14" s="367"/>
      <c r="B14" s="367"/>
      <c r="C14" s="367"/>
      <c r="D14" s="367"/>
      <c r="E14" s="367"/>
      <c r="F14" s="539"/>
      <c r="G14" s="539" t="str">
        <f>IFERROR(VLOOKUP(F14,ISCO_Prevodnik!$A$10:$B$21,2,0),"")</f>
        <v/>
      </c>
      <c r="H14" s="539"/>
      <c r="I14" s="539" t="str">
        <f>IFERROR(VLOOKUP(H14,ISCO_Prevodnik!$E$10:$F$31,2,0),"")</f>
        <v/>
      </c>
      <c r="J14" s="540"/>
      <c r="K14" s="473">
        <f t="shared" si="2"/>
        <v>0</v>
      </c>
      <c r="L14" s="481">
        <f t="shared" si="3"/>
        <v>0</v>
      </c>
      <c r="M14" s="475">
        <f t="shared" si="6"/>
        <v>0</v>
      </c>
      <c r="Q14" s="422" t="s">
        <v>410</v>
      </c>
      <c r="R14" s="542">
        <v>488</v>
      </c>
      <c r="S14" s="656">
        <v>488</v>
      </c>
      <c r="T14" s="423">
        <v>0.5</v>
      </c>
      <c r="U14" s="425">
        <f t="shared" si="4"/>
        <v>0</v>
      </c>
      <c r="V14" s="423">
        <f t="shared" si="0"/>
        <v>0</v>
      </c>
      <c r="W14" s="423" t="str">
        <f t="shared" si="1"/>
        <v>OK</v>
      </c>
      <c r="X14" s="424"/>
    </row>
    <row r="15" spans="1:24">
      <c r="A15" s="367"/>
      <c r="B15" s="367"/>
      <c r="C15" s="367"/>
      <c r="D15" s="367"/>
      <c r="E15" s="367"/>
      <c r="F15" s="539"/>
      <c r="G15" s="539" t="str">
        <f>IFERROR(VLOOKUP(F15,ISCO_Prevodnik!$A$10:$B$21,2,0),"")</f>
        <v/>
      </c>
      <c r="H15" s="539"/>
      <c r="I15" s="539" t="str">
        <f>IFERROR(VLOOKUP(H15,ISCO_Prevodnik!$E$10:$F$31,2,0),"")</f>
        <v/>
      </c>
      <c r="J15" s="540"/>
      <c r="K15" s="473">
        <f t="shared" si="2"/>
        <v>0</v>
      </c>
      <c r="L15" s="481">
        <f t="shared" si="3"/>
        <v>0</v>
      </c>
      <c r="M15" s="475">
        <f t="shared" si="6"/>
        <v>0</v>
      </c>
      <c r="Q15" s="422" t="s">
        <v>411</v>
      </c>
      <c r="R15" s="542">
        <v>400</v>
      </c>
      <c r="S15" s="656">
        <v>400</v>
      </c>
      <c r="T15" s="423">
        <v>0.2</v>
      </c>
      <c r="U15" s="425">
        <f t="shared" si="4"/>
        <v>0</v>
      </c>
      <c r="V15" s="423">
        <f t="shared" si="0"/>
        <v>0</v>
      </c>
      <c r="W15" s="423" t="str">
        <f t="shared" si="1"/>
        <v>OK</v>
      </c>
      <c r="X15" s="424"/>
    </row>
    <row r="16" spans="1:24">
      <c r="A16" s="370" t="s">
        <v>540</v>
      </c>
      <c r="B16" s="541">
        <v>0.6</v>
      </c>
      <c r="C16" s="540">
        <f>SUM(K16:K27)/$K$1</f>
        <v>0.61864781263809099</v>
      </c>
      <c r="D16" s="473">
        <f>B16*SUM(MODULY_CBA!$J$3:$J$23)</f>
        <v>6999</v>
      </c>
      <c r="E16" s="628">
        <f>IFERROR(SUM(M16:M27)/SUM(K16:K27),0)</f>
        <v>437.48</v>
      </c>
      <c r="F16" s="539" t="s">
        <v>400</v>
      </c>
      <c r="G16" s="539" t="str">
        <f>IFERROR(VLOOKUP(F16,ISCO_Prevodnik!$A$10:$B$21,2,0),"")</f>
        <v>IT_architekt</v>
      </c>
      <c r="H16" s="539" t="s">
        <v>688</v>
      </c>
      <c r="I16" s="539">
        <f>IFERROR(VLOOKUP(H16,ISCO_Prevodnik!$E$10:$F$31,2,0),"")</f>
        <v>2511002</v>
      </c>
      <c r="J16" s="540">
        <v>0.05</v>
      </c>
      <c r="K16" s="473">
        <f>ROUND(J16*$D$16,0)</f>
        <v>350</v>
      </c>
      <c r="L16" s="481">
        <f t="shared" si="3"/>
        <v>499</v>
      </c>
      <c r="M16" s="475">
        <f t="shared" si="5"/>
        <v>174650</v>
      </c>
      <c r="N16" s="498"/>
      <c r="Q16" s="631" t="s">
        <v>430</v>
      </c>
      <c r="R16" s="542"/>
      <c r="S16" s="497" t="s">
        <v>458</v>
      </c>
      <c r="T16" s="423" t="s">
        <v>458</v>
      </c>
      <c r="U16" s="425">
        <f t="shared" si="4"/>
        <v>0</v>
      </c>
      <c r="V16" s="423" t="s">
        <v>458</v>
      </c>
      <c r="W16" s="423" t="s">
        <v>458</v>
      </c>
      <c r="X16" s="424"/>
    </row>
    <row r="17" spans="1:24">
      <c r="A17" s="367"/>
      <c r="B17" s="367"/>
      <c r="C17" s="367"/>
      <c r="D17" s="367"/>
      <c r="E17" s="367"/>
      <c r="F17" s="539" t="s">
        <v>401</v>
      </c>
      <c r="G17" s="539" t="str">
        <f>IFERROR(VLOOKUP(F17,ISCO_Prevodnik!$A$10:$B$21,2,0),"")</f>
        <v>IT_tester</v>
      </c>
      <c r="H17" s="539" t="s">
        <v>401</v>
      </c>
      <c r="I17" s="539">
        <f>IFERROR(VLOOKUP(H17,ISCO_Prevodnik!$E$10:$F$31,2,0),"")</f>
        <v>2519001</v>
      </c>
      <c r="J17" s="540">
        <v>0.15</v>
      </c>
      <c r="K17" s="473">
        <f t="shared" ref="K17:K27" si="7">ROUND(J17*$D$16,0)</f>
        <v>1050</v>
      </c>
      <c r="L17" s="481">
        <f t="shared" si="3"/>
        <v>397</v>
      </c>
      <c r="M17" s="475">
        <f t="shared" si="5"/>
        <v>416850</v>
      </c>
      <c r="Q17" s="631" t="s">
        <v>434</v>
      </c>
      <c r="R17" s="542"/>
      <c r="S17" s="497" t="s">
        <v>458</v>
      </c>
      <c r="T17" s="423" t="s">
        <v>458</v>
      </c>
      <c r="U17" s="425">
        <f t="shared" si="4"/>
        <v>0</v>
      </c>
      <c r="V17" s="423" t="s">
        <v>458</v>
      </c>
      <c r="W17" s="423" t="s">
        <v>458</v>
      </c>
      <c r="X17" s="424"/>
    </row>
    <row r="18" spans="1:24">
      <c r="A18" s="367"/>
      <c r="B18" s="367"/>
      <c r="C18" s="367"/>
      <c r="D18" s="367"/>
      <c r="E18" s="367"/>
      <c r="F18" s="539" t="s">
        <v>402</v>
      </c>
      <c r="G18" s="539" t="str">
        <f>IFERROR(VLOOKUP(F18,ISCO_Prevodnik!$A$10:$B$21,2,0),"")</f>
        <v>IT_programator</v>
      </c>
      <c r="H18" s="539" t="s">
        <v>685</v>
      </c>
      <c r="I18" s="539">
        <f>IFERROR(VLOOKUP(H18,ISCO_Prevodnik!$E$10:$F$31,2,0),"")</f>
        <v>2512001</v>
      </c>
      <c r="J18" s="540">
        <v>0.4</v>
      </c>
      <c r="K18" s="473">
        <f t="shared" si="7"/>
        <v>2800</v>
      </c>
      <c r="L18" s="481">
        <f t="shared" si="3"/>
        <v>419</v>
      </c>
      <c r="M18" s="475">
        <f t="shared" si="5"/>
        <v>1173200</v>
      </c>
      <c r="Q18" s="631" t="s">
        <v>429</v>
      </c>
      <c r="R18" s="542"/>
      <c r="S18" s="497" t="s">
        <v>458</v>
      </c>
      <c r="T18" s="423" t="s">
        <v>458</v>
      </c>
      <c r="U18" s="425">
        <f t="shared" si="4"/>
        <v>0</v>
      </c>
      <c r="V18" s="423" t="s">
        <v>458</v>
      </c>
      <c r="W18" s="423" t="s">
        <v>458</v>
      </c>
      <c r="X18" s="424"/>
    </row>
    <row r="19" spans="1:24">
      <c r="A19" s="367"/>
      <c r="B19" s="367"/>
      <c r="C19" s="367"/>
      <c r="D19" s="367"/>
      <c r="E19" s="367"/>
      <c r="F19" s="539" t="s">
        <v>403</v>
      </c>
      <c r="G19" s="539" t="str">
        <f>IFERROR(VLOOKUP(F19,ISCO_Prevodnik!$A$10:$B$21,2,0),"")</f>
        <v>Projektovy_manazer</v>
      </c>
      <c r="H19" s="539" t="s">
        <v>684</v>
      </c>
      <c r="I19" s="539">
        <f>IFERROR(VLOOKUP(H19,ISCO_Prevodnik!$E$10:$F$31,2,0),"")</f>
        <v>1330001</v>
      </c>
      <c r="J19" s="540">
        <v>0.04</v>
      </c>
      <c r="K19" s="473">
        <f t="shared" si="7"/>
        <v>280</v>
      </c>
      <c r="L19" s="481">
        <f t="shared" si="3"/>
        <v>500</v>
      </c>
      <c r="M19" s="475">
        <f t="shared" si="5"/>
        <v>140000</v>
      </c>
      <c r="Q19" s="631" t="s">
        <v>674</v>
      </c>
      <c r="R19" s="542"/>
      <c r="S19" s="497" t="s">
        <v>458</v>
      </c>
      <c r="T19" s="423" t="s">
        <v>458</v>
      </c>
      <c r="U19" s="425">
        <f t="shared" si="4"/>
        <v>0</v>
      </c>
      <c r="V19" s="423" t="s">
        <v>458</v>
      </c>
      <c r="W19" s="423" t="s">
        <v>458</v>
      </c>
      <c r="X19" s="424"/>
    </row>
    <row r="20" spans="1:24">
      <c r="A20" s="367"/>
      <c r="B20" s="367"/>
      <c r="C20" s="367"/>
      <c r="D20" s="367"/>
      <c r="E20" s="367"/>
      <c r="F20" s="539" t="s">
        <v>404</v>
      </c>
      <c r="G20" s="539" t="str">
        <f>IFERROR(VLOOKUP(F20,ISCO_Prevodnik!$A$10:$B$21,2,0),"")</f>
        <v>IT_analytik</v>
      </c>
      <c r="H20" s="539" t="s">
        <v>687</v>
      </c>
      <c r="I20" s="539">
        <f>IFERROR(VLOOKUP(H20,ISCO_Prevodnik!$E$10:$F$31,2,0),"")</f>
        <v>2511003</v>
      </c>
      <c r="J20" s="540">
        <v>0.11</v>
      </c>
      <c r="K20" s="473">
        <f t="shared" si="7"/>
        <v>770</v>
      </c>
      <c r="L20" s="481">
        <f t="shared" si="3"/>
        <v>483</v>
      </c>
      <c r="M20" s="475">
        <f t="shared" si="5"/>
        <v>371910</v>
      </c>
      <c r="Q20" s="631" t="s">
        <v>722</v>
      </c>
      <c r="R20" s="542"/>
      <c r="S20" s="497" t="s">
        <v>458</v>
      </c>
      <c r="T20" s="423" t="s">
        <v>458</v>
      </c>
      <c r="U20" s="425">
        <f t="shared" si="4"/>
        <v>0</v>
      </c>
      <c r="V20" s="423" t="s">
        <v>458</v>
      </c>
      <c r="W20" s="423" t="s">
        <v>458</v>
      </c>
      <c r="X20" s="424"/>
    </row>
    <row r="21" spans="1:24">
      <c r="A21" s="367"/>
      <c r="B21" s="367"/>
      <c r="C21" s="367"/>
      <c r="D21" s="367"/>
      <c r="E21" s="367"/>
      <c r="F21" s="539" t="s">
        <v>405</v>
      </c>
      <c r="G21" s="539" t="str">
        <f>IFERROR(VLOOKUP(F21,ISCO_Prevodnik!$A$10:$B$21,2,0),"")</f>
        <v>Kvalita</v>
      </c>
      <c r="H21" s="539" t="s">
        <v>690</v>
      </c>
      <c r="I21" s="539">
        <f>IFERROR(VLOOKUP(H21,ISCO_Prevodnik!$E$10:$F$31,2,0),"")</f>
        <v>2421002</v>
      </c>
      <c r="J21" s="540">
        <v>0.05</v>
      </c>
      <c r="K21" s="473">
        <f t="shared" si="7"/>
        <v>350</v>
      </c>
      <c r="L21" s="481">
        <f t="shared" si="3"/>
        <v>457</v>
      </c>
      <c r="M21" s="475">
        <f t="shared" si="5"/>
        <v>159950</v>
      </c>
      <c r="Q21" s="631" t="s">
        <v>723</v>
      </c>
      <c r="R21" s="542"/>
      <c r="S21" s="497" t="s">
        <v>458</v>
      </c>
      <c r="T21" s="423" t="s">
        <v>458</v>
      </c>
      <c r="U21" s="425">
        <f t="shared" si="4"/>
        <v>0</v>
      </c>
      <c r="V21" s="423" t="s">
        <v>458</v>
      </c>
      <c r="W21" s="423" t="s">
        <v>458</v>
      </c>
      <c r="X21" s="424"/>
    </row>
    <row r="22" spans="1:24">
      <c r="A22" s="367"/>
      <c r="B22" s="590"/>
      <c r="C22" s="590"/>
      <c r="D22" s="591"/>
      <c r="E22" s="592"/>
      <c r="F22" s="539" t="s">
        <v>406</v>
      </c>
      <c r="G22" s="539" t="str">
        <f>IFERROR(VLOOKUP(F22,ISCO_Prevodnik!$A$10:$B$21,2,0),"")</f>
        <v>Bezpecnost</v>
      </c>
      <c r="H22" s="539" t="s">
        <v>693</v>
      </c>
      <c r="I22" s="539">
        <f>IFERROR(VLOOKUP(H22,ISCO_Prevodnik!$E$10:$F$31,2,0),"")</f>
        <v>2529001</v>
      </c>
      <c r="J22" s="540">
        <v>0.05</v>
      </c>
      <c r="K22" s="473">
        <f t="shared" si="7"/>
        <v>350</v>
      </c>
      <c r="L22" s="481">
        <f t="shared" si="3"/>
        <v>498</v>
      </c>
      <c r="M22" s="475">
        <f t="shared" si="5"/>
        <v>174300</v>
      </c>
      <c r="Q22" s="614"/>
      <c r="R22" s="542"/>
      <c r="S22" s="497" t="s">
        <v>458</v>
      </c>
      <c r="T22" s="423" t="s">
        <v>458</v>
      </c>
      <c r="U22" s="425">
        <f t="shared" si="4"/>
        <v>0</v>
      </c>
      <c r="V22" s="423" t="s">
        <v>458</v>
      </c>
      <c r="W22" s="423" t="s">
        <v>458</v>
      </c>
      <c r="X22" s="424"/>
    </row>
    <row r="23" spans="1:24">
      <c r="A23" s="367"/>
      <c r="B23" s="367"/>
      <c r="C23" s="367"/>
      <c r="D23" s="367"/>
      <c r="E23" s="367"/>
      <c r="F23" s="539" t="s">
        <v>407</v>
      </c>
      <c r="G23" s="539" t="str">
        <f>IFERROR(VLOOKUP(F23,ISCO_Prevodnik!$A$10:$B$21,2,0),"")</f>
        <v>Infrastrutkura</v>
      </c>
      <c r="H23" s="539" t="s">
        <v>691</v>
      </c>
      <c r="I23" s="539">
        <f>IFERROR(VLOOKUP(H23,ISCO_Prevodnik!$E$10:$F$31,2,0),"")</f>
        <v>2523000</v>
      </c>
      <c r="J23" s="540">
        <v>0.05</v>
      </c>
      <c r="K23" s="473">
        <f t="shared" si="7"/>
        <v>350</v>
      </c>
      <c r="L23" s="481">
        <f t="shared" si="3"/>
        <v>450</v>
      </c>
      <c r="M23" s="475">
        <f t="shared" si="5"/>
        <v>157500</v>
      </c>
      <c r="Q23" s="614"/>
      <c r="R23" s="542"/>
      <c r="S23" s="497" t="s">
        <v>458</v>
      </c>
      <c r="T23" s="423" t="s">
        <v>458</v>
      </c>
      <c r="U23" s="425">
        <f t="shared" si="4"/>
        <v>0</v>
      </c>
      <c r="V23" s="423" t="s">
        <v>458</v>
      </c>
      <c r="W23" s="423" t="s">
        <v>458</v>
      </c>
      <c r="X23" s="424"/>
    </row>
    <row r="24" spans="1:24">
      <c r="A24" s="367"/>
      <c r="B24" s="367"/>
      <c r="C24" s="367"/>
      <c r="D24" s="367"/>
      <c r="E24" s="367"/>
      <c r="F24" s="539" t="s">
        <v>408</v>
      </c>
      <c r="G24" s="539" t="str">
        <f>IFERROR(VLOOKUP(F24,ISCO_Prevodnik!$A$10:$B$21,2,0),"")</f>
        <v>Databazy</v>
      </c>
      <c r="H24" s="539" t="s">
        <v>692</v>
      </c>
      <c r="I24" s="539">
        <f>IFERROR(VLOOKUP(H24,ISCO_Prevodnik!$E$10:$F$31,2,0),"")</f>
        <v>2521003</v>
      </c>
      <c r="J24" s="540">
        <v>0.1</v>
      </c>
      <c r="K24" s="473">
        <f t="shared" si="7"/>
        <v>700</v>
      </c>
      <c r="L24" s="481">
        <f t="shared" si="3"/>
        <v>420</v>
      </c>
      <c r="M24" s="475">
        <f t="shared" si="5"/>
        <v>294000</v>
      </c>
      <c r="Q24" s="614"/>
      <c r="R24" s="542"/>
      <c r="S24" s="497" t="s">
        <v>458</v>
      </c>
      <c r="T24" s="423" t="s">
        <v>458</v>
      </c>
      <c r="U24" s="425">
        <f t="shared" si="4"/>
        <v>0</v>
      </c>
      <c r="V24" s="423" t="s">
        <v>458</v>
      </c>
      <c r="W24" s="423" t="s">
        <v>458</v>
      </c>
      <c r="X24" s="424"/>
    </row>
    <row r="25" spans="1:24">
      <c r="A25" s="367"/>
      <c r="B25" s="367"/>
      <c r="C25" s="367"/>
      <c r="D25" s="367"/>
      <c r="E25" s="367"/>
      <c r="F25" s="539"/>
      <c r="G25" s="539" t="str">
        <f>IFERROR(VLOOKUP(F25,ISCO_Prevodnik!$A$10:$B$21,2,0),"")</f>
        <v/>
      </c>
      <c r="H25" s="539"/>
      <c r="I25" s="539" t="str">
        <f>IFERROR(VLOOKUP(H25,ISCO_Prevodnik!$E$10:$F$31,2,0),"")</f>
        <v/>
      </c>
      <c r="J25" s="540"/>
      <c r="K25" s="473">
        <f t="shared" si="7"/>
        <v>0</v>
      </c>
      <c r="L25" s="481">
        <f t="shared" si="3"/>
        <v>0</v>
      </c>
      <c r="M25" s="475">
        <f t="shared" si="5"/>
        <v>0</v>
      </c>
      <c r="Q25" s="614"/>
      <c r="R25" s="542"/>
      <c r="S25" s="497" t="s">
        <v>458</v>
      </c>
      <c r="T25" s="423" t="s">
        <v>458</v>
      </c>
      <c r="U25" s="425">
        <f t="shared" si="4"/>
        <v>0</v>
      </c>
      <c r="V25" s="423" t="s">
        <v>458</v>
      </c>
      <c r="W25" s="423" t="s">
        <v>458</v>
      </c>
      <c r="X25" s="424"/>
    </row>
    <row r="26" spans="1:24">
      <c r="A26" s="367"/>
      <c r="B26" s="367"/>
      <c r="C26" s="367"/>
      <c r="D26" s="367"/>
      <c r="E26" s="367"/>
      <c r="F26" s="539"/>
      <c r="G26" s="539" t="str">
        <f>IFERROR(VLOOKUP(F26,ISCO_Prevodnik!$A$10:$B$21,2,0),"")</f>
        <v/>
      </c>
      <c r="H26" s="539"/>
      <c r="I26" s="539" t="str">
        <f>IFERROR(VLOOKUP(H26,ISCO_Prevodnik!$E$10:$F$31,2,0),"")</f>
        <v/>
      </c>
      <c r="J26" s="540"/>
      <c r="K26" s="473">
        <f t="shared" si="7"/>
        <v>0</v>
      </c>
      <c r="L26" s="481">
        <f t="shared" si="3"/>
        <v>0</v>
      </c>
      <c r="M26" s="475">
        <f t="shared" si="5"/>
        <v>0</v>
      </c>
      <c r="Q26" s="614"/>
      <c r="R26" s="542"/>
      <c r="S26" s="497" t="s">
        <v>458</v>
      </c>
      <c r="T26" s="423" t="s">
        <v>458</v>
      </c>
      <c r="U26" s="425">
        <f t="shared" si="4"/>
        <v>0</v>
      </c>
      <c r="V26" s="423" t="s">
        <v>458</v>
      </c>
      <c r="W26" s="423" t="s">
        <v>458</v>
      </c>
      <c r="X26" s="424"/>
    </row>
    <row r="27" spans="1:24">
      <c r="A27" s="367"/>
      <c r="B27" s="367"/>
      <c r="C27" s="367"/>
      <c r="D27" s="367"/>
      <c r="E27" s="367"/>
      <c r="F27" s="539"/>
      <c r="G27" s="539" t="str">
        <f>IFERROR(VLOOKUP(F27,ISCO_Prevodnik!$A$10:$B$21,2,0),"")</f>
        <v/>
      </c>
      <c r="H27" s="539"/>
      <c r="I27" s="539" t="str">
        <f>IFERROR(VLOOKUP(H27,ISCO_Prevodnik!$E$10:$F$31,2,0),"")</f>
        <v/>
      </c>
      <c r="J27" s="540"/>
      <c r="K27" s="473">
        <f t="shared" si="7"/>
        <v>0</v>
      </c>
      <c r="L27" s="481">
        <f t="shared" si="3"/>
        <v>0</v>
      </c>
      <c r="M27" s="475">
        <f t="shared" si="5"/>
        <v>0</v>
      </c>
      <c r="Q27" s="614"/>
      <c r="R27" s="542"/>
      <c r="S27" s="497" t="s">
        <v>458</v>
      </c>
      <c r="T27" s="423" t="s">
        <v>458</v>
      </c>
      <c r="U27" s="425">
        <f t="shared" si="4"/>
        <v>0</v>
      </c>
      <c r="V27" s="423" t="s">
        <v>458</v>
      </c>
      <c r="W27" s="423" t="s">
        <v>458</v>
      </c>
      <c r="X27" s="424"/>
    </row>
    <row r="28" spans="1:24">
      <c r="A28" s="370" t="s">
        <v>264</v>
      </c>
      <c r="B28" s="541">
        <v>0.15</v>
      </c>
      <c r="C28" s="540">
        <f>SUM(K28:K39)/$K$1</f>
        <v>0.15439681838267785</v>
      </c>
      <c r="D28" s="473">
        <f>B28*SUM(MODULY_CBA!$J$3:$J$23)</f>
        <v>1749.75</v>
      </c>
      <c r="E28" s="474">
        <f>IFERROR(SUM(M28:M39)/SUM(K28:K39),0)</f>
        <v>436.37321121923299</v>
      </c>
      <c r="F28" s="539" t="s">
        <v>400</v>
      </c>
      <c r="G28" s="539" t="str">
        <f>IFERROR(VLOOKUP(F28,ISCO_Prevodnik!$A$10:$B$21,2,0),"")</f>
        <v>IT_architekt</v>
      </c>
      <c r="H28" s="539" t="s">
        <v>688</v>
      </c>
      <c r="I28" s="539">
        <f>IFERROR(VLOOKUP(H28,ISCO_Prevodnik!$E$10:$F$31,2,0),"")</f>
        <v>2511002</v>
      </c>
      <c r="J28" s="540">
        <v>0.05</v>
      </c>
      <c r="K28" s="473">
        <f>ROUND(J28*$D$28,0)</f>
        <v>87</v>
      </c>
      <c r="L28" s="481">
        <f t="shared" si="3"/>
        <v>499</v>
      </c>
      <c r="M28" s="475">
        <f t="shared" si="5"/>
        <v>43413</v>
      </c>
    </row>
    <row r="29" spans="1:24">
      <c r="A29" s="367"/>
      <c r="B29" s="367"/>
      <c r="C29" s="367"/>
      <c r="D29" s="367"/>
      <c r="E29" s="367"/>
      <c r="F29" s="539" t="s">
        <v>401</v>
      </c>
      <c r="G29" s="539" t="str">
        <f>IFERROR(VLOOKUP(F29,ISCO_Prevodnik!$A$10:$B$21,2,0),"")</f>
        <v>IT_tester</v>
      </c>
      <c r="H29" s="539" t="s">
        <v>401</v>
      </c>
      <c r="I29" s="539">
        <f>IFERROR(VLOOKUP(H29,ISCO_Prevodnik!$E$10:$F$31,2,0),"")</f>
        <v>2519001</v>
      </c>
      <c r="J29" s="540">
        <v>0.16</v>
      </c>
      <c r="K29" s="473">
        <f t="shared" ref="K29:K39" si="8">ROUND(J29*$D$28,0)</f>
        <v>280</v>
      </c>
      <c r="L29" s="481">
        <f t="shared" si="3"/>
        <v>397</v>
      </c>
      <c r="M29" s="475">
        <f t="shared" si="5"/>
        <v>111160</v>
      </c>
    </row>
    <row r="30" spans="1:24">
      <c r="A30" s="367"/>
      <c r="B30" s="367"/>
      <c r="C30" s="367"/>
      <c r="D30" s="367"/>
      <c r="E30" s="367"/>
      <c r="F30" s="539" t="s">
        <v>402</v>
      </c>
      <c r="G30" s="539" t="str">
        <f>IFERROR(VLOOKUP(F30,ISCO_Prevodnik!$A$10:$B$21,2,0),"")</f>
        <v>IT_programator</v>
      </c>
      <c r="H30" s="539" t="s">
        <v>685</v>
      </c>
      <c r="I30" s="539">
        <f>IFERROR(VLOOKUP(H30,ISCO_Prevodnik!$E$10:$F$31,2,0),"")</f>
        <v>2512001</v>
      </c>
      <c r="J30" s="540">
        <v>0.4</v>
      </c>
      <c r="K30" s="473">
        <f t="shared" si="8"/>
        <v>700</v>
      </c>
      <c r="L30" s="481">
        <f t="shared" si="3"/>
        <v>419</v>
      </c>
      <c r="M30" s="475">
        <f t="shared" si="5"/>
        <v>293300</v>
      </c>
    </row>
    <row r="31" spans="1:24">
      <c r="A31" s="367"/>
      <c r="B31" s="367"/>
      <c r="C31" s="367"/>
      <c r="D31" s="367"/>
      <c r="E31" s="367"/>
      <c r="F31" s="539" t="s">
        <v>403</v>
      </c>
      <c r="G31" s="539" t="str">
        <f>IFERROR(VLOOKUP(F31,ISCO_Prevodnik!$A$10:$B$21,2,0),"")</f>
        <v>Projektovy_manazer</v>
      </c>
      <c r="H31" s="539" t="s">
        <v>684</v>
      </c>
      <c r="I31" s="539">
        <f>IFERROR(VLOOKUP(H31,ISCO_Prevodnik!$E$10:$F$31,2,0),"")</f>
        <v>1330001</v>
      </c>
      <c r="J31" s="540">
        <v>0.03</v>
      </c>
      <c r="K31" s="473">
        <f t="shared" si="8"/>
        <v>52</v>
      </c>
      <c r="L31" s="481">
        <f t="shared" si="3"/>
        <v>500</v>
      </c>
      <c r="M31" s="475">
        <f t="shared" si="5"/>
        <v>26000</v>
      </c>
    </row>
    <row r="32" spans="1:24">
      <c r="A32" s="367"/>
      <c r="B32" s="367"/>
      <c r="C32" s="367"/>
      <c r="D32" s="367"/>
      <c r="E32" s="367"/>
      <c r="F32" s="539" t="s">
        <v>404</v>
      </c>
      <c r="G32" s="539" t="str">
        <f>IFERROR(VLOOKUP(F32,ISCO_Prevodnik!$A$10:$B$21,2,0),"")</f>
        <v>IT_analytik</v>
      </c>
      <c r="H32" s="539" t="s">
        <v>687</v>
      </c>
      <c r="I32" s="539">
        <f>IFERROR(VLOOKUP(H32,ISCO_Prevodnik!$E$10:$F$31,2,0),"")</f>
        <v>2511003</v>
      </c>
      <c r="J32" s="540">
        <v>0.11</v>
      </c>
      <c r="K32" s="473">
        <f t="shared" si="8"/>
        <v>192</v>
      </c>
      <c r="L32" s="481">
        <f t="shared" si="3"/>
        <v>483</v>
      </c>
      <c r="M32" s="475">
        <f t="shared" si="5"/>
        <v>92736</v>
      </c>
    </row>
    <row r="33" spans="1:13">
      <c r="A33" s="367"/>
      <c r="B33" s="367"/>
      <c r="C33" s="367"/>
      <c r="D33" s="367"/>
      <c r="E33" s="367"/>
      <c r="F33" s="539" t="s">
        <v>405</v>
      </c>
      <c r="G33" s="539" t="str">
        <f>IFERROR(VLOOKUP(F33,ISCO_Prevodnik!$A$10:$B$21,2,0),"")</f>
        <v>Kvalita</v>
      </c>
      <c r="H33" s="539" t="s">
        <v>690</v>
      </c>
      <c r="I33" s="539">
        <f>IFERROR(VLOOKUP(H33,ISCO_Prevodnik!$E$10:$F$31,2,0),"")</f>
        <v>2421002</v>
      </c>
      <c r="J33" s="540">
        <v>0.05</v>
      </c>
      <c r="K33" s="473">
        <f t="shared" si="8"/>
        <v>87</v>
      </c>
      <c r="L33" s="481">
        <f t="shared" si="3"/>
        <v>457</v>
      </c>
      <c r="M33" s="475">
        <f t="shared" si="5"/>
        <v>39759</v>
      </c>
    </row>
    <row r="34" spans="1:13">
      <c r="F34" s="539" t="s">
        <v>406</v>
      </c>
      <c r="G34" s="539" t="str">
        <f>IFERROR(VLOOKUP(F34,ISCO_Prevodnik!$A$10:$B$21,2,0),"")</f>
        <v>Bezpecnost</v>
      </c>
      <c r="H34" s="539" t="s">
        <v>693</v>
      </c>
      <c r="I34" s="539">
        <f>IFERROR(VLOOKUP(H34,ISCO_Prevodnik!$E$10:$F$31,2,0),"")</f>
        <v>2529001</v>
      </c>
      <c r="J34" s="540">
        <v>0.05</v>
      </c>
      <c r="K34" s="473">
        <f t="shared" si="8"/>
        <v>87</v>
      </c>
      <c r="L34" s="481">
        <f t="shared" si="3"/>
        <v>498</v>
      </c>
      <c r="M34" s="475">
        <f t="shared" ref="M34:M46" si="9">K34*L34</f>
        <v>43326</v>
      </c>
    </row>
    <row r="35" spans="1:13">
      <c r="F35" s="539" t="s">
        <v>407</v>
      </c>
      <c r="G35" s="539" t="str">
        <f>IFERROR(VLOOKUP(F35,ISCO_Prevodnik!$A$10:$B$21,2,0),"")</f>
        <v>Infrastrutkura</v>
      </c>
      <c r="H35" s="539" t="s">
        <v>691</v>
      </c>
      <c r="I35" s="539">
        <f>IFERROR(VLOOKUP(H35,ISCO_Prevodnik!$E$10:$F$31,2,0),"")</f>
        <v>2523000</v>
      </c>
      <c r="J35" s="540">
        <v>0.05</v>
      </c>
      <c r="K35" s="473">
        <f t="shared" si="8"/>
        <v>87</v>
      </c>
      <c r="L35" s="481">
        <f t="shared" si="3"/>
        <v>450</v>
      </c>
      <c r="M35" s="475">
        <f t="shared" si="9"/>
        <v>39150</v>
      </c>
    </row>
    <row r="36" spans="1:13">
      <c r="F36" s="539" t="s">
        <v>408</v>
      </c>
      <c r="G36" s="539" t="str">
        <f>IFERROR(VLOOKUP(F36,ISCO_Prevodnik!$A$10:$B$21,2,0),"")</f>
        <v>Databazy</v>
      </c>
      <c r="H36" s="539" t="s">
        <v>692</v>
      </c>
      <c r="I36" s="539">
        <f>IFERROR(VLOOKUP(H36,ISCO_Prevodnik!$E$10:$F$31,2,0),"")</f>
        <v>2521003</v>
      </c>
      <c r="J36" s="540">
        <v>0.1</v>
      </c>
      <c r="K36" s="473">
        <f t="shared" si="8"/>
        <v>175</v>
      </c>
      <c r="L36" s="481">
        <f t="shared" si="3"/>
        <v>420</v>
      </c>
      <c r="M36" s="475">
        <f t="shared" si="9"/>
        <v>73500</v>
      </c>
    </row>
    <row r="37" spans="1:13">
      <c r="F37" s="539"/>
      <c r="G37" s="539" t="str">
        <f>IFERROR(VLOOKUP(F37,ISCO_Prevodnik!$A$10:$B$21,2,0),"")</f>
        <v/>
      </c>
      <c r="H37" s="539"/>
      <c r="I37" s="539" t="str">
        <f>IFERROR(VLOOKUP(H37,ISCO_Prevodnik!$E$10:$F$31,2,0),"")</f>
        <v/>
      </c>
      <c r="J37" s="540"/>
      <c r="K37" s="473">
        <f t="shared" si="8"/>
        <v>0</v>
      </c>
      <c r="L37" s="481">
        <f t="shared" si="3"/>
        <v>0</v>
      </c>
      <c r="M37" s="475">
        <f t="shared" si="9"/>
        <v>0</v>
      </c>
    </row>
    <row r="38" spans="1:13">
      <c r="F38" s="539"/>
      <c r="G38" s="539" t="str">
        <f>IFERROR(VLOOKUP(F38,ISCO_Prevodnik!$A$10:$B$21,2,0),"")</f>
        <v/>
      </c>
      <c r="H38" s="539"/>
      <c r="I38" s="539" t="str">
        <f>IFERROR(VLOOKUP(H38,ISCO_Prevodnik!$E$10:$F$31,2,0),"")</f>
        <v/>
      </c>
      <c r="J38" s="540"/>
      <c r="K38" s="473">
        <f t="shared" si="8"/>
        <v>0</v>
      </c>
      <c r="L38" s="481">
        <f t="shared" si="3"/>
        <v>0</v>
      </c>
      <c r="M38" s="475">
        <f t="shared" si="9"/>
        <v>0</v>
      </c>
    </row>
    <row r="39" spans="1:13">
      <c r="F39" s="539"/>
      <c r="G39" s="539" t="str">
        <f>IFERROR(VLOOKUP(F39,ISCO_Prevodnik!$A$10:$B$21,2,0),"")</f>
        <v/>
      </c>
      <c r="H39" s="539"/>
      <c r="I39" s="539" t="str">
        <f>IFERROR(VLOOKUP(H39,ISCO_Prevodnik!$E$10:$F$31,2,0),"")</f>
        <v/>
      </c>
      <c r="J39" s="540"/>
      <c r="K39" s="473">
        <f t="shared" si="8"/>
        <v>0</v>
      </c>
      <c r="L39" s="481">
        <f t="shared" si="3"/>
        <v>0</v>
      </c>
      <c r="M39" s="475">
        <f t="shared" si="9"/>
        <v>0</v>
      </c>
    </row>
    <row r="40" spans="1:13" ht="45">
      <c r="A40" s="469" t="s">
        <v>773</v>
      </c>
      <c r="B40" s="469" t="s">
        <v>774</v>
      </c>
      <c r="C40" s="469"/>
      <c r="D40" s="469" t="s">
        <v>266</v>
      </c>
      <c r="E40" s="469" t="s">
        <v>416</v>
      </c>
      <c r="F40" s="469" t="s">
        <v>399</v>
      </c>
      <c r="G40" s="469"/>
      <c r="H40" s="469" t="s">
        <v>695</v>
      </c>
      <c r="I40" s="469" t="s">
        <v>696</v>
      </c>
      <c r="J40" s="469" t="s">
        <v>776</v>
      </c>
      <c r="K40" s="469" t="s">
        <v>414</v>
      </c>
      <c r="L40" s="469" t="s">
        <v>724</v>
      </c>
      <c r="M40" s="469" t="s">
        <v>415</v>
      </c>
    </row>
    <row r="41" spans="1:13">
      <c r="A41" s="370" t="s">
        <v>671</v>
      </c>
      <c r="B41" s="543">
        <v>18</v>
      </c>
      <c r="C41" s="543"/>
      <c r="D41" s="473">
        <f>SUM(K41:K52)</f>
        <v>0</v>
      </c>
      <c r="E41" s="474">
        <f>IFERROR(SUM(M41:M52)/SUM(K41:K52),0)</f>
        <v>0</v>
      </c>
      <c r="F41" s="539"/>
      <c r="G41" s="539"/>
      <c r="H41" s="539"/>
      <c r="I41" s="539"/>
      <c r="J41" s="613"/>
      <c r="K41" s="473">
        <f>J41*$B$41*20</f>
        <v>0</v>
      </c>
      <c r="L41" s="481">
        <f>IFERROR(VLOOKUP(F41,$Q$4:$R$30,2,0),0)</f>
        <v>0</v>
      </c>
      <c r="M41" s="475">
        <f t="shared" si="9"/>
        <v>0</v>
      </c>
    </row>
    <row r="42" spans="1:13">
      <c r="A42" s="367"/>
      <c r="B42" s="367"/>
      <c r="C42" s="367"/>
      <c r="D42" s="367"/>
      <c r="E42" s="367"/>
      <c r="F42" s="539"/>
      <c r="G42" s="539"/>
      <c r="H42" s="539"/>
      <c r="I42" s="539"/>
      <c r="J42" s="613"/>
      <c r="K42" s="473">
        <f t="shared" ref="K42:K52" si="10">J42*$B$41*20</f>
        <v>0</v>
      </c>
      <c r="L42" s="481">
        <f t="shared" ref="L42:L52" si="11">IFERROR(VLOOKUP(F42,$Q$4:$R$30,2,0),0)</f>
        <v>0</v>
      </c>
      <c r="M42" s="475">
        <f t="shared" si="9"/>
        <v>0</v>
      </c>
    </row>
    <row r="43" spans="1:13">
      <c r="A43" s="367"/>
      <c r="B43" s="367"/>
      <c r="C43" s="367"/>
      <c r="D43" s="367"/>
      <c r="E43" s="367"/>
      <c r="F43" s="539"/>
      <c r="G43" s="539" t="str">
        <f>IFERROR(VLOOKUP(F43,ISCO_Prevodnik!$A$10:$B$21,2,0),"")</f>
        <v/>
      </c>
      <c r="H43" s="539"/>
      <c r="I43" s="539" t="str">
        <f>IFERROR(VLOOKUP(H43,ISCO_Prevodnik!$E$10:$F$31,2,0),"")</f>
        <v/>
      </c>
      <c r="J43" s="613"/>
      <c r="K43" s="473">
        <f t="shared" si="10"/>
        <v>0</v>
      </c>
      <c r="L43" s="481">
        <f t="shared" si="11"/>
        <v>0</v>
      </c>
      <c r="M43" s="475">
        <f t="shared" si="9"/>
        <v>0</v>
      </c>
    </row>
    <row r="44" spans="1:13">
      <c r="A44" s="367"/>
      <c r="B44" s="367"/>
      <c r="C44" s="367"/>
      <c r="D44" s="367"/>
      <c r="E44" s="367"/>
      <c r="F44" s="539"/>
      <c r="G44" s="539" t="str">
        <f>IFERROR(VLOOKUP(F44,ISCO_Prevodnik!$A$10:$B$21,2,0),"")</f>
        <v/>
      </c>
      <c r="H44" s="539"/>
      <c r="I44" s="539" t="str">
        <f>IFERROR(VLOOKUP(H44,ISCO_Prevodnik!$E$10:$F$31,2,0),"")</f>
        <v/>
      </c>
      <c r="J44" s="613"/>
      <c r="K44" s="473">
        <f t="shared" si="10"/>
        <v>0</v>
      </c>
      <c r="L44" s="481">
        <f t="shared" si="11"/>
        <v>0</v>
      </c>
      <c r="M44" s="475">
        <f t="shared" si="9"/>
        <v>0</v>
      </c>
    </row>
    <row r="45" spans="1:13">
      <c r="A45" s="367"/>
      <c r="B45" s="367"/>
      <c r="C45" s="367"/>
      <c r="D45" s="367"/>
      <c r="E45" s="367"/>
      <c r="F45" s="539"/>
      <c r="G45" s="539" t="str">
        <f>IFERROR(VLOOKUP(F45,ISCO_Prevodnik!$A$10:$B$21,2,0),"")</f>
        <v/>
      </c>
      <c r="H45" s="539"/>
      <c r="I45" s="539" t="str">
        <f>IFERROR(VLOOKUP(H45,ISCO_Prevodnik!$E$10:$F$31,2,0),"")</f>
        <v/>
      </c>
      <c r="J45" s="613"/>
      <c r="K45" s="473">
        <f t="shared" si="10"/>
        <v>0</v>
      </c>
      <c r="L45" s="481">
        <f t="shared" si="11"/>
        <v>0</v>
      </c>
      <c r="M45" s="475">
        <f t="shared" si="9"/>
        <v>0</v>
      </c>
    </row>
    <row r="46" spans="1:13">
      <c r="A46" s="367"/>
      <c r="B46" s="367"/>
      <c r="C46" s="367"/>
      <c r="D46" s="367"/>
      <c r="E46" s="367"/>
      <c r="F46" s="539"/>
      <c r="G46" s="539" t="str">
        <f>IFERROR(VLOOKUP(F46,ISCO_Prevodnik!$A$10:$B$21,2,0),"")</f>
        <v/>
      </c>
      <c r="H46" s="539"/>
      <c r="I46" s="539" t="str">
        <f>IFERROR(VLOOKUP(H46,ISCO_Prevodnik!$E$10:$F$31,2,0),"")</f>
        <v/>
      </c>
      <c r="J46" s="613"/>
      <c r="K46" s="473">
        <f t="shared" si="10"/>
        <v>0</v>
      </c>
      <c r="L46" s="481">
        <f t="shared" si="11"/>
        <v>0</v>
      </c>
      <c r="M46" s="475">
        <f t="shared" si="9"/>
        <v>0</v>
      </c>
    </row>
    <row r="47" spans="1:13">
      <c r="F47" s="539"/>
      <c r="G47" s="539" t="str">
        <f>IFERROR(VLOOKUP(F47,ISCO_Prevodnik!$A$10:$B$21,2,0),"")</f>
        <v/>
      </c>
      <c r="H47" s="539"/>
      <c r="I47" s="539" t="str">
        <f>IFERROR(VLOOKUP(H47,ISCO_Prevodnik!$E$10:$F$31,2,0),"")</f>
        <v/>
      </c>
      <c r="J47" s="613"/>
      <c r="K47" s="473">
        <f t="shared" si="10"/>
        <v>0</v>
      </c>
      <c r="L47" s="481">
        <f t="shared" si="11"/>
        <v>0</v>
      </c>
      <c r="M47" s="475">
        <f t="shared" ref="M47:M58" si="12">K47*L47</f>
        <v>0</v>
      </c>
    </row>
    <row r="48" spans="1:13">
      <c r="F48" s="539"/>
      <c r="G48" s="539" t="str">
        <f>IFERROR(VLOOKUP(F48,ISCO_Prevodnik!$A$10:$B$21,2,0),"")</f>
        <v/>
      </c>
      <c r="H48" s="539"/>
      <c r="I48" s="539" t="str">
        <f>IFERROR(VLOOKUP(H48,ISCO_Prevodnik!$E$10:$F$31,2,0),"")</f>
        <v/>
      </c>
      <c r="J48" s="613"/>
      <c r="K48" s="473">
        <f t="shared" si="10"/>
        <v>0</v>
      </c>
      <c r="L48" s="481">
        <f t="shared" si="11"/>
        <v>0</v>
      </c>
      <c r="M48" s="475">
        <f t="shared" si="12"/>
        <v>0</v>
      </c>
    </row>
    <row r="49" spans="1:13">
      <c r="F49" s="539"/>
      <c r="G49" s="539" t="str">
        <f>IFERROR(VLOOKUP(F49,ISCO_Prevodnik!$A$10:$B$21,2,0),"")</f>
        <v/>
      </c>
      <c r="H49" s="539"/>
      <c r="I49" s="539" t="str">
        <f>IFERROR(VLOOKUP(H49,ISCO_Prevodnik!$E$10:$F$31,2,0),"")</f>
        <v/>
      </c>
      <c r="J49" s="613"/>
      <c r="K49" s="473">
        <f t="shared" si="10"/>
        <v>0</v>
      </c>
      <c r="L49" s="481">
        <f t="shared" si="11"/>
        <v>0</v>
      </c>
      <c r="M49" s="475">
        <f t="shared" si="12"/>
        <v>0</v>
      </c>
    </row>
    <row r="50" spans="1:13">
      <c r="F50" s="539"/>
      <c r="G50" s="539" t="str">
        <f>IFERROR(VLOOKUP(F50,ISCO_Prevodnik!$A$10:$B$21,2,0),"")</f>
        <v/>
      </c>
      <c r="H50" s="539"/>
      <c r="I50" s="539" t="str">
        <f>IFERROR(VLOOKUP(H50,ISCO_Prevodnik!$E$10:$F$31,2,0),"")</f>
        <v/>
      </c>
      <c r="J50" s="613"/>
      <c r="K50" s="473">
        <f t="shared" si="10"/>
        <v>0</v>
      </c>
      <c r="L50" s="481">
        <f t="shared" si="11"/>
        <v>0</v>
      </c>
      <c r="M50" s="475">
        <f t="shared" si="12"/>
        <v>0</v>
      </c>
    </row>
    <row r="51" spans="1:13">
      <c r="F51" s="539"/>
      <c r="G51" s="539" t="str">
        <f>IFERROR(VLOOKUP(F51,ISCO_Prevodnik!$A$10:$B$21,2,0),"")</f>
        <v/>
      </c>
      <c r="H51" s="539"/>
      <c r="I51" s="539" t="str">
        <f>IFERROR(VLOOKUP(H51,ISCO_Prevodnik!$E$10:$F$31,2,0),"")</f>
        <v/>
      </c>
      <c r="J51" s="613"/>
      <c r="K51" s="473">
        <f t="shared" si="10"/>
        <v>0</v>
      </c>
      <c r="L51" s="481">
        <f t="shared" si="11"/>
        <v>0</v>
      </c>
      <c r="M51" s="475">
        <f t="shared" si="12"/>
        <v>0</v>
      </c>
    </row>
    <row r="52" spans="1:13">
      <c r="F52" s="539"/>
      <c r="G52" s="539" t="str">
        <f>IFERROR(VLOOKUP(F52,ISCO_Prevodnik!$A$10:$B$21,2,0),"")</f>
        <v/>
      </c>
      <c r="H52" s="539"/>
      <c r="I52" s="539" t="str">
        <f>IFERROR(VLOOKUP(H52,ISCO_Prevodnik!$E$10:$F$31,2,0),"")</f>
        <v/>
      </c>
      <c r="J52" s="613"/>
      <c r="K52" s="473">
        <f t="shared" si="10"/>
        <v>0</v>
      </c>
      <c r="L52" s="481">
        <f t="shared" si="11"/>
        <v>0</v>
      </c>
      <c r="M52" s="475">
        <f t="shared" si="12"/>
        <v>0</v>
      </c>
    </row>
    <row r="53" spans="1:13">
      <c r="A53" s="370" t="s">
        <v>673</v>
      </c>
      <c r="B53" s="543">
        <v>18</v>
      </c>
      <c r="C53" s="543"/>
      <c r="D53" s="473">
        <f>SUM(K53:K64)</f>
        <v>0</v>
      </c>
      <c r="E53" s="474">
        <f>IFERROR(SUM(M53:M64)/SUM(K53:K64),0)</f>
        <v>0</v>
      </c>
      <c r="F53" s="539"/>
      <c r="G53" s="539" t="str">
        <f>IFERROR(VLOOKUP(F53,ISCO_Prevodnik!$A$10:$B$21,2,0),"")</f>
        <v/>
      </c>
      <c r="H53" s="539"/>
      <c r="I53" s="539" t="str">
        <f>IFERROR(VLOOKUP(H53,ISCO_Prevodnik!$E$10:$F$31,2,0),"")</f>
        <v/>
      </c>
      <c r="J53" s="613"/>
      <c r="K53" s="473">
        <f>J53*$B$41*20</f>
        <v>0</v>
      </c>
      <c r="L53" s="481">
        <f>IFERROR(VLOOKUP(F53,$Q$4:$R$30,2,0),0)</f>
        <v>0</v>
      </c>
      <c r="M53" s="475">
        <f t="shared" si="12"/>
        <v>0</v>
      </c>
    </row>
    <row r="54" spans="1:13">
      <c r="A54" s="367"/>
      <c r="B54" s="367"/>
      <c r="C54" s="367"/>
      <c r="D54" s="367"/>
      <c r="E54" s="367"/>
      <c r="F54" s="539"/>
      <c r="G54" s="539" t="str">
        <f>IFERROR(VLOOKUP(F54,ISCO_Prevodnik!$A$10:$B$21,2,0),"")</f>
        <v/>
      </c>
      <c r="H54" s="539"/>
      <c r="I54" s="539" t="str">
        <f>IFERROR(VLOOKUP(H54,ISCO_Prevodnik!$E$10:$F$31,2,0),"")</f>
        <v/>
      </c>
      <c r="J54" s="613"/>
      <c r="K54" s="473">
        <f t="shared" ref="K54:K64" si="13">J54*$B$41*20</f>
        <v>0</v>
      </c>
      <c r="L54" s="481">
        <f t="shared" ref="L54:L64" si="14">IFERROR(VLOOKUP(F54,$Q$4:$R$30,2,0),0)</f>
        <v>0</v>
      </c>
      <c r="M54" s="475">
        <f t="shared" si="12"/>
        <v>0</v>
      </c>
    </row>
    <row r="55" spans="1:13">
      <c r="A55" s="367"/>
      <c r="B55" s="367"/>
      <c r="C55" s="367"/>
      <c r="D55" s="367"/>
      <c r="E55" s="367"/>
      <c r="F55" s="539"/>
      <c r="G55" s="539" t="str">
        <f>IFERROR(VLOOKUP(F55,ISCO_Prevodnik!$A$10:$B$21,2,0),"")</f>
        <v/>
      </c>
      <c r="H55" s="539"/>
      <c r="I55" s="539" t="str">
        <f>IFERROR(VLOOKUP(H55,ISCO_Prevodnik!$E$10:$F$31,2,0),"")</f>
        <v/>
      </c>
      <c r="J55" s="613"/>
      <c r="K55" s="473">
        <f t="shared" si="13"/>
        <v>0</v>
      </c>
      <c r="L55" s="481">
        <f t="shared" si="14"/>
        <v>0</v>
      </c>
      <c r="M55" s="475">
        <f t="shared" si="12"/>
        <v>0</v>
      </c>
    </row>
    <row r="56" spans="1:13">
      <c r="A56" s="367"/>
      <c r="B56" s="367"/>
      <c r="C56" s="367"/>
      <c r="D56" s="367"/>
      <c r="E56" s="367"/>
      <c r="F56" s="539"/>
      <c r="G56" s="539" t="str">
        <f>IFERROR(VLOOKUP(F56,ISCO_Prevodnik!$A$10:$B$21,2,0),"")</f>
        <v/>
      </c>
      <c r="H56" s="539"/>
      <c r="I56" s="539" t="str">
        <f>IFERROR(VLOOKUP(H56,ISCO_Prevodnik!$E$10:$F$31,2,0),"")</f>
        <v/>
      </c>
      <c r="J56" s="613"/>
      <c r="K56" s="473">
        <f t="shared" si="13"/>
        <v>0</v>
      </c>
      <c r="L56" s="481">
        <f t="shared" si="14"/>
        <v>0</v>
      </c>
      <c r="M56" s="475">
        <f t="shared" si="12"/>
        <v>0</v>
      </c>
    </row>
    <row r="57" spans="1:13">
      <c r="A57" s="367"/>
      <c r="B57" s="367"/>
      <c r="C57" s="367"/>
      <c r="D57" s="367"/>
      <c r="E57" s="367"/>
      <c r="F57" s="539"/>
      <c r="G57" s="539" t="str">
        <f>IFERROR(VLOOKUP(F57,ISCO_Prevodnik!$A$10:$B$21,2,0),"")</f>
        <v/>
      </c>
      <c r="H57" s="539"/>
      <c r="I57" s="539" t="str">
        <f>IFERROR(VLOOKUP(H57,ISCO_Prevodnik!$E$10:$F$31,2,0),"")</f>
        <v/>
      </c>
      <c r="J57" s="613"/>
      <c r="K57" s="473">
        <f t="shared" si="13"/>
        <v>0</v>
      </c>
      <c r="L57" s="481">
        <f t="shared" si="14"/>
        <v>0</v>
      </c>
      <c r="M57" s="475">
        <f t="shared" si="12"/>
        <v>0</v>
      </c>
    </row>
    <row r="58" spans="1:13">
      <c r="A58" s="367"/>
      <c r="B58" s="367"/>
      <c r="C58" s="367"/>
      <c r="D58" s="367"/>
      <c r="E58" s="367"/>
      <c r="F58" s="539"/>
      <c r="G58" s="539" t="str">
        <f>IFERROR(VLOOKUP(F58,ISCO_Prevodnik!$A$10:$B$21,2,0),"")</f>
        <v/>
      </c>
      <c r="H58" s="539"/>
      <c r="I58" s="539" t="str">
        <f>IFERROR(VLOOKUP(H58,ISCO_Prevodnik!$E$10:$F$31,2,0),"")</f>
        <v/>
      </c>
      <c r="J58" s="613"/>
      <c r="K58" s="473">
        <f t="shared" si="13"/>
        <v>0</v>
      </c>
      <c r="L58" s="481">
        <f t="shared" si="14"/>
        <v>0</v>
      </c>
      <c r="M58" s="475">
        <f t="shared" si="12"/>
        <v>0</v>
      </c>
    </row>
    <row r="59" spans="1:13">
      <c r="F59" s="539"/>
      <c r="G59" s="539" t="str">
        <f>IFERROR(VLOOKUP(F59,ISCO_Prevodnik!$A$10:$B$21,2,0),"")</f>
        <v/>
      </c>
      <c r="H59" s="539"/>
      <c r="I59" s="539" t="str">
        <f>IFERROR(VLOOKUP(H59,ISCO_Prevodnik!$E$10:$F$31,2,0),"")</f>
        <v/>
      </c>
      <c r="J59" s="613"/>
      <c r="K59" s="473">
        <f t="shared" si="13"/>
        <v>0</v>
      </c>
      <c r="L59" s="481">
        <f t="shared" si="14"/>
        <v>0</v>
      </c>
      <c r="M59" s="475">
        <f t="shared" ref="M59:M64" si="15">K59*L59</f>
        <v>0</v>
      </c>
    </row>
    <row r="60" spans="1:13">
      <c r="F60" s="539"/>
      <c r="G60" s="539" t="str">
        <f>IFERROR(VLOOKUP(F60,ISCO_Prevodnik!$A$10:$B$21,2,0),"")</f>
        <v/>
      </c>
      <c r="H60" s="539"/>
      <c r="I60" s="539" t="str">
        <f>IFERROR(VLOOKUP(H60,ISCO_Prevodnik!$E$10:$F$31,2,0),"")</f>
        <v/>
      </c>
      <c r="J60" s="613"/>
      <c r="K60" s="473">
        <f t="shared" si="13"/>
        <v>0</v>
      </c>
      <c r="L60" s="481">
        <f t="shared" si="14"/>
        <v>0</v>
      </c>
      <c r="M60" s="475">
        <f t="shared" si="15"/>
        <v>0</v>
      </c>
    </row>
    <row r="61" spans="1:13">
      <c r="F61" s="539"/>
      <c r="G61" s="539" t="str">
        <f>IFERROR(VLOOKUP(F61,ISCO_Prevodnik!$A$10:$B$21,2,0),"")</f>
        <v/>
      </c>
      <c r="H61" s="539"/>
      <c r="I61" s="539" t="str">
        <f>IFERROR(VLOOKUP(H61,ISCO_Prevodnik!$E$10:$F$31,2,0),"")</f>
        <v/>
      </c>
      <c r="J61" s="613"/>
      <c r="K61" s="473">
        <f t="shared" si="13"/>
        <v>0</v>
      </c>
      <c r="L61" s="481">
        <f t="shared" si="14"/>
        <v>0</v>
      </c>
      <c r="M61" s="475">
        <f t="shared" si="15"/>
        <v>0</v>
      </c>
    </row>
    <row r="62" spans="1:13">
      <c r="F62" s="539"/>
      <c r="G62" s="539" t="str">
        <f>IFERROR(VLOOKUP(F62,ISCO_Prevodnik!$A$10:$B$21,2,0),"")</f>
        <v/>
      </c>
      <c r="H62" s="539"/>
      <c r="I62" s="539" t="str">
        <f>IFERROR(VLOOKUP(H62,ISCO_Prevodnik!$E$10:$F$31,2,0),"")</f>
        <v/>
      </c>
      <c r="J62" s="613"/>
      <c r="K62" s="473">
        <f t="shared" si="13"/>
        <v>0</v>
      </c>
      <c r="L62" s="481">
        <f t="shared" si="14"/>
        <v>0</v>
      </c>
      <c r="M62" s="475">
        <f t="shared" si="15"/>
        <v>0</v>
      </c>
    </row>
    <row r="63" spans="1:13">
      <c r="F63" s="539"/>
      <c r="G63" s="539" t="str">
        <f>IFERROR(VLOOKUP(F63,ISCO_Prevodnik!$A$10:$B$21,2,0),"")</f>
        <v/>
      </c>
      <c r="H63" s="539"/>
      <c r="I63" s="539" t="str">
        <f>IFERROR(VLOOKUP(H63,ISCO_Prevodnik!$E$10:$F$31,2,0),"")</f>
        <v/>
      </c>
      <c r="J63" s="613"/>
      <c r="K63" s="473">
        <f t="shared" si="13"/>
        <v>0</v>
      </c>
      <c r="L63" s="481">
        <f t="shared" si="14"/>
        <v>0</v>
      </c>
      <c r="M63" s="475">
        <f t="shared" si="15"/>
        <v>0</v>
      </c>
    </row>
    <row r="64" spans="1:13">
      <c r="F64" s="539"/>
      <c r="G64" s="539" t="str">
        <f>IFERROR(VLOOKUP(F64,ISCO_Prevodnik!$A$10:$B$21,2,0),"")</f>
        <v/>
      </c>
      <c r="H64" s="539"/>
      <c r="I64" s="539" t="str">
        <f>IFERROR(VLOOKUP(H64,ISCO_Prevodnik!$E$10:$F$31,2,0),"")</f>
        <v/>
      </c>
      <c r="J64" s="613"/>
      <c r="K64" s="473">
        <f t="shared" si="13"/>
        <v>0</v>
      </c>
      <c r="L64" s="481">
        <f t="shared" si="14"/>
        <v>0</v>
      </c>
      <c r="M64" s="475">
        <f t="shared" si="15"/>
        <v>0</v>
      </c>
    </row>
  </sheetData>
  <mergeCells count="2">
    <mergeCell ref="F1:J1"/>
    <mergeCell ref="F2:J2"/>
  </mergeCells>
  <phoneticPr fontId="58" type="noConversion"/>
  <conditionalFormatting sqref="B4:C4 B16:C16 B28:C28">
    <cfRule type="expression" dxfId="13" priority="15">
      <formula>SUM($B$4,$B$16,$B$28)&lt;&gt;1</formula>
    </cfRule>
  </conditionalFormatting>
  <conditionalFormatting sqref="J4:J15">
    <cfRule type="expression" dxfId="12" priority="18">
      <formula>SUM($J$4:$J$15)&lt;&gt;1</formula>
    </cfRule>
  </conditionalFormatting>
  <conditionalFormatting sqref="J16:J36">
    <cfRule type="expression" dxfId="11" priority="13">
      <formula>SUM($J$16:$J$27)&lt;&gt;1</formula>
    </cfRule>
  </conditionalFormatting>
  <conditionalFormatting sqref="J37:J39">
    <cfRule type="expression" dxfId="10" priority="11">
      <formula>SUM($J$28:$J$39)&lt;&gt;1</formula>
    </cfRule>
  </conditionalFormatting>
  <conditionalFormatting sqref="R4:R21">
    <cfRule type="expression" dxfId="9" priority="14">
      <formula>AND(ISNUMBER(S4),R4&gt;S4)</formula>
    </cfRule>
  </conditionalFormatting>
  <conditionalFormatting sqref="R16:R27">
    <cfRule type="expression" dxfId="8" priority="2">
      <formula>AND(ISNUMBER(S16),R16&gt;S16*1.2)</formula>
    </cfRule>
    <cfRule type="cellIs" dxfId="7" priority="39" operator="greaterThan">
      <formula>#REF!</formula>
    </cfRule>
  </conditionalFormatting>
  <conditionalFormatting sqref="W4:W27">
    <cfRule type="containsText" dxfId="6" priority="3" operator="containsText" text="OK">
      <formula>NOT(ISERROR(SEARCH("OK",W4)))</formula>
    </cfRule>
    <cfRule type="containsText" dxfId="5" priority="4" operator="containsText" text="NAD">
      <formula>NOT(ISERROR(SEARCH("NAD",W4)))</formula>
    </cfRule>
  </conditionalFormatting>
  <dataValidations count="8">
    <dataValidation type="decimal" allowBlank="1" showInputMessage="1" showErrorMessage="1" sqref="B4:C4 C16 C28" xr:uid="{00000000-0002-0000-0F00-000000000000}">
      <formula1>0.1</formula1>
      <formula2>0.35</formula2>
    </dataValidation>
    <dataValidation type="decimal" allowBlank="1" showInputMessage="1" showErrorMessage="1" sqref="B16" xr:uid="{00000000-0002-0000-0F00-000001000000}">
      <formula1>0.3</formula1>
      <formula2>0.8</formula2>
    </dataValidation>
    <dataValidation type="decimal" allowBlank="1" showInputMessage="1" showErrorMessage="1" sqref="B22:C22" xr:uid="{00000000-0002-0000-0F00-000002000000}">
      <formula1>0.1</formula1>
      <formula2>0.25</formula2>
    </dataValidation>
    <dataValidation type="decimal" allowBlank="1" showInputMessage="1" showErrorMessage="1" sqref="B28" xr:uid="{00000000-0002-0000-0F00-000003000000}">
      <formula1>0.15</formula1>
      <formula2>0.3</formula2>
    </dataValidation>
    <dataValidation type="list" allowBlank="1" showInputMessage="1" showErrorMessage="1" sqref="F4:F39" xr:uid="{00000000-0002-0000-0F00-000004000000}">
      <formula1>Pozicia</formula1>
    </dataValidation>
    <dataValidation operator="lessThanOrEqual" allowBlank="1" showInputMessage="1" showErrorMessage="1" sqref="S4:S15" xr:uid="{00000000-0002-0000-0F00-000005000000}"/>
    <dataValidation type="list" allowBlank="1" showInputMessage="1" showErrorMessage="1" sqref="F41:F64" xr:uid="{00000000-0002-0000-0F00-000006000000}">
      <formula1>PozicieKomplet</formula1>
    </dataValidation>
    <dataValidation type="list" allowBlank="1" showInputMessage="1" showErrorMessage="1" sqref="H41:H64 H4:H39" xr:uid="{00000000-0002-0000-0F00-000007000000}">
      <formula1>INDIRECT($G4)</formula1>
    </dataValidation>
  </dataValidations>
  <pageMargins left="0.7" right="0.7" top="0.75" bottom="0.75" header="0.3" footer="0.3"/>
  <pageSetup paperSize="9" orientation="portrait" horizontalDpi="4294967293"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30">
    <tabColor rgb="FF00B050"/>
  </sheetPr>
  <dimension ref="A1:W64"/>
  <sheetViews>
    <sheetView zoomScaleNormal="100" workbookViewId="0">
      <pane ySplit="3" topLeftCell="A4" activePane="bottomLeft" state="frozen"/>
      <selection activeCell="J3" sqref="J3:J11"/>
      <selection pane="bottomLeft" activeCell="B41" sqref="B41"/>
    </sheetView>
  </sheetViews>
  <sheetFormatPr defaultColWidth="8.85546875" defaultRowHeight="15"/>
  <cols>
    <col min="1" max="1" width="31.42578125" style="365" customWidth="1"/>
    <col min="2" max="2" width="11.28515625" style="365" customWidth="1"/>
    <col min="3" max="3" width="10.7109375" style="365" customWidth="1"/>
    <col min="4" max="4" width="14.85546875" style="365" customWidth="1"/>
    <col min="5" max="5" width="34.7109375" style="365" bestFit="1" customWidth="1"/>
    <col min="6" max="6" width="12" style="365" customWidth="1"/>
    <col min="7" max="7" width="15.28515625" style="365" bestFit="1" customWidth="1"/>
    <col min="8" max="8" width="10" style="365" customWidth="1"/>
    <col min="9" max="9" width="15.140625" style="365" bestFit="1" customWidth="1"/>
    <col min="10" max="10" width="12.7109375" style="365" customWidth="1"/>
    <col min="11" max="11" width="9.28515625" style="365" bestFit="1" customWidth="1"/>
    <col min="12" max="12" width="8.85546875" style="365"/>
    <col min="13" max="13" width="43.140625" style="365" customWidth="1"/>
    <col min="14" max="14" width="11.28515625" style="365" customWidth="1"/>
    <col min="15" max="15" width="11.85546875" style="365" customWidth="1"/>
    <col min="16" max="16" width="13.42578125" style="365" customWidth="1"/>
    <col min="17" max="17" width="14.140625" style="365" customWidth="1"/>
    <col min="18" max="18" width="13.85546875" style="365" customWidth="1"/>
    <col min="19" max="22" width="13.42578125" style="365" customWidth="1"/>
    <col min="23" max="23" width="20.140625" style="365" customWidth="1"/>
    <col min="24" max="16384" width="8.85546875" style="365"/>
  </cols>
  <sheetData>
    <row r="1" spans="1:23" ht="30">
      <c r="B1" s="494"/>
      <c r="C1" s="494"/>
      <c r="E1" s="789" t="s">
        <v>727</v>
      </c>
      <c r="F1" s="789"/>
      <c r="G1" s="615">
        <f>IFERROR(I1/EXTERNE_POZICIE!M1/1.2,0)</f>
        <v>5.9845350847552159E-2</v>
      </c>
      <c r="I1" s="433">
        <f>SUM(I4:I39)</f>
        <v>372136.80000000005</v>
      </c>
      <c r="P1" s="624" t="s">
        <v>535</v>
      </c>
      <c r="Q1" s="626">
        <v>0.35949999999999999</v>
      </c>
      <c r="R1" s="588"/>
    </row>
    <row r="2" spans="1:23" ht="30">
      <c r="B2" s="494"/>
      <c r="C2" s="494"/>
      <c r="E2" s="790" t="s">
        <v>533</v>
      </c>
      <c r="F2" s="790"/>
      <c r="G2" s="431">
        <f>SUM(G4:G63)</f>
        <v>2030</v>
      </c>
      <c r="I2" s="433">
        <f>SUM(I4:I63)</f>
        <v>1152349.9463</v>
      </c>
      <c r="P2" s="625" t="s">
        <v>726</v>
      </c>
      <c r="Q2" s="627">
        <v>0.15</v>
      </c>
      <c r="R2" s="588"/>
    </row>
    <row r="3" spans="1:23" s="470" customFormat="1" ht="60">
      <c r="A3" s="468" t="s">
        <v>780</v>
      </c>
      <c r="B3" s="469" t="s">
        <v>782</v>
      </c>
      <c r="C3" s="469" t="s">
        <v>266</v>
      </c>
      <c r="D3" s="469" t="s">
        <v>416</v>
      </c>
      <c r="E3" s="469" t="s">
        <v>399</v>
      </c>
      <c r="F3" s="469" t="s">
        <v>781</v>
      </c>
      <c r="G3" s="469" t="s">
        <v>266</v>
      </c>
      <c r="H3" s="469" t="s">
        <v>536</v>
      </c>
      <c r="I3" s="469" t="s">
        <v>728</v>
      </c>
      <c r="M3" s="492" t="s">
        <v>761</v>
      </c>
      <c r="N3" s="492" t="s">
        <v>783</v>
      </c>
      <c r="O3" s="467" t="s">
        <v>428</v>
      </c>
      <c r="P3" s="467" t="s">
        <v>534</v>
      </c>
      <c r="Q3" s="467" t="s">
        <v>539</v>
      </c>
      <c r="R3" s="467" t="s">
        <v>537</v>
      </c>
      <c r="S3" s="491" t="s">
        <v>431</v>
      </c>
      <c r="T3" s="467" t="s">
        <v>440</v>
      </c>
      <c r="U3" s="491" t="s">
        <v>538</v>
      </c>
      <c r="V3" s="491" t="s">
        <v>418</v>
      </c>
      <c r="W3" s="467" t="s">
        <v>412</v>
      </c>
    </row>
    <row r="4" spans="1:23">
      <c r="A4" s="370" t="s">
        <v>263</v>
      </c>
      <c r="B4" s="543">
        <v>23</v>
      </c>
      <c r="C4" s="473">
        <f>SUM(G4:G15)</f>
        <v>230</v>
      </c>
      <c r="D4" s="474">
        <f>IFERROR(SUM(I4:I15)/C4,0)</f>
        <v>312.72000000000003</v>
      </c>
      <c r="E4" s="539" t="s">
        <v>423</v>
      </c>
      <c r="F4" s="540">
        <v>0.5</v>
      </c>
      <c r="G4" s="473">
        <f>IFERROR(VLOOKUP(E4,$M$4:$O$27,3,0)*F4*$B$4*20,)</f>
        <v>230</v>
      </c>
      <c r="H4" s="481">
        <f>IFERROR(VLOOKUP(E4,$M$4:$R$27,6,0),0)*8</f>
        <v>312.72000000000003</v>
      </c>
      <c r="I4" s="475">
        <f>G4*H4</f>
        <v>71925.600000000006</v>
      </c>
      <c r="J4" s="498"/>
      <c r="M4" s="422" t="s">
        <v>423</v>
      </c>
      <c r="N4" s="422" t="s">
        <v>531</v>
      </c>
      <c r="O4" s="544">
        <v>1</v>
      </c>
      <c r="P4" s="586">
        <v>25</v>
      </c>
      <c r="Q4" s="589">
        <f>P4*(1+$Q$2)*$Q$1</f>
        <v>10.335624999999999</v>
      </c>
      <c r="R4" s="589">
        <f>ROUND(P4+Q4+$Q$2*P4,2)</f>
        <v>39.090000000000003</v>
      </c>
      <c r="S4" s="422">
        <f>SUMIF($E$4:$E$63,M4,$G$4:$G$63)*8</f>
        <v>1840</v>
      </c>
      <c r="T4" s="497">
        <f>SUMIF($E$4:$E$63,M4,$I$4:$I$63)</f>
        <v>71925.600000000006</v>
      </c>
      <c r="U4" s="493">
        <f>IF(N4="hlavná",25,15)</f>
        <v>25</v>
      </c>
      <c r="V4" s="423">
        <f>IFERROR(S4/SUM($S$4:$S$27),)</f>
        <v>0.11330049261083744</v>
      </c>
      <c r="W4" s="424"/>
    </row>
    <row r="5" spans="1:23">
      <c r="A5" s="367"/>
      <c r="B5" s="367"/>
      <c r="C5" s="367"/>
      <c r="D5" s="367"/>
      <c r="E5" s="539" t="s">
        <v>733</v>
      </c>
      <c r="F5" s="540"/>
      <c r="G5" s="473">
        <f t="shared" ref="G5:G15" si="0">IFERROR(VLOOKUP(E5,$M$4:$O$27,3,0)*F5*$B$4*20,)</f>
        <v>0</v>
      </c>
      <c r="H5" s="481">
        <f t="shared" ref="H5:H62" si="1">IFERROR(VLOOKUP(E5,$M$4:$R$27,6,0),0)*8</f>
        <v>312.72000000000003</v>
      </c>
      <c r="I5" s="475">
        <f>G5*H5</f>
        <v>0</v>
      </c>
      <c r="J5" s="498"/>
      <c r="K5" s="498"/>
      <c r="M5" s="422" t="s">
        <v>733</v>
      </c>
      <c r="N5" s="422" t="s">
        <v>531</v>
      </c>
      <c r="O5" s="544">
        <v>1</v>
      </c>
      <c r="P5" s="587">
        <v>25</v>
      </c>
      <c r="Q5" s="589">
        <f t="shared" ref="Q5:Q27" si="2">P5*(1+$Q$2)*$Q$1</f>
        <v>10.335624999999999</v>
      </c>
      <c r="R5" s="589">
        <f t="shared" ref="R5:R27" si="3">ROUND(P5+Q5+$Q$2*P5,2)</f>
        <v>39.090000000000003</v>
      </c>
      <c r="S5" s="422">
        <f t="shared" ref="S5:S27" si="4">SUMIF($E$4:$E$63,M5,$G$4:$G$63)*8</f>
        <v>0</v>
      </c>
      <c r="T5" s="497">
        <f t="shared" ref="T5:T27" si="5">SUMIF($E$4:$E$63,M5,$I$4:$I$63)</f>
        <v>0</v>
      </c>
      <c r="U5" s="493">
        <f t="shared" ref="U5:U25" si="6">IF(N5="hlavná",25,15)</f>
        <v>25</v>
      </c>
      <c r="V5" s="423">
        <f t="shared" ref="V5:V27" si="7">IFERROR(S5/SUM($S$4:$S$27),)</f>
        <v>0</v>
      </c>
      <c r="W5" s="424"/>
    </row>
    <row r="6" spans="1:23">
      <c r="A6" s="367"/>
      <c r="B6" s="367"/>
      <c r="C6" s="367"/>
      <c r="D6" s="367"/>
      <c r="E6" s="539" t="s">
        <v>424</v>
      </c>
      <c r="F6" s="540"/>
      <c r="G6" s="473">
        <f t="shared" si="0"/>
        <v>0</v>
      </c>
      <c r="H6" s="481">
        <f t="shared" si="1"/>
        <v>312.72000000000003</v>
      </c>
      <c r="I6" s="475">
        <f t="shared" ref="I6:I33" si="8">G6*H6</f>
        <v>0</v>
      </c>
      <c r="M6" s="422" t="s">
        <v>731</v>
      </c>
      <c r="N6" s="422" t="s">
        <v>531</v>
      </c>
      <c r="O6" s="544"/>
      <c r="P6" s="587"/>
      <c r="Q6" s="589">
        <f t="shared" si="2"/>
        <v>0</v>
      </c>
      <c r="R6" s="589">
        <f t="shared" si="3"/>
        <v>0</v>
      </c>
      <c r="S6" s="422">
        <f t="shared" si="4"/>
        <v>0</v>
      </c>
      <c r="T6" s="497">
        <f t="shared" si="5"/>
        <v>0</v>
      </c>
      <c r="U6" s="493">
        <f t="shared" si="6"/>
        <v>25</v>
      </c>
      <c r="V6" s="423">
        <f t="shared" si="7"/>
        <v>0</v>
      </c>
      <c r="W6" s="424"/>
    </row>
    <row r="7" spans="1:23">
      <c r="A7" s="367"/>
      <c r="B7" s="367"/>
      <c r="C7" s="367"/>
      <c r="D7" s="367"/>
      <c r="E7" s="539" t="s">
        <v>426</v>
      </c>
      <c r="F7" s="540"/>
      <c r="G7" s="473">
        <f t="shared" si="0"/>
        <v>0</v>
      </c>
      <c r="H7" s="481">
        <f t="shared" si="1"/>
        <v>312.72000000000003</v>
      </c>
      <c r="I7" s="475">
        <f t="shared" si="8"/>
        <v>0</v>
      </c>
      <c r="M7" s="422" t="s">
        <v>424</v>
      </c>
      <c r="N7" s="422" t="s">
        <v>531</v>
      </c>
      <c r="O7" s="544">
        <v>1</v>
      </c>
      <c r="P7" s="587">
        <v>25</v>
      </c>
      <c r="Q7" s="589">
        <f t="shared" si="2"/>
        <v>10.335624999999999</v>
      </c>
      <c r="R7" s="589">
        <f t="shared" si="3"/>
        <v>39.090000000000003</v>
      </c>
      <c r="S7" s="422">
        <f t="shared" si="4"/>
        <v>0</v>
      </c>
      <c r="T7" s="497">
        <f t="shared" si="5"/>
        <v>0</v>
      </c>
      <c r="U7" s="493">
        <f t="shared" si="6"/>
        <v>25</v>
      </c>
      <c r="V7" s="423">
        <f t="shared" si="7"/>
        <v>0</v>
      </c>
      <c r="W7" s="424"/>
    </row>
    <row r="8" spans="1:23">
      <c r="A8" s="367"/>
      <c r="B8" s="367"/>
      <c r="C8" s="367"/>
      <c r="D8" s="367"/>
      <c r="E8" s="539" t="s">
        <v>432</v>
      </c>
      <c r="F8" s="540"/>
      <c r="G8" s="473">
        <f t="shared" si="0"/>
        <v>0</v>
      </c>
      <c r="H8" s="481">
        <f t="shared" si="1"/>
        <v>312.72000000000003</v>
      </c>
      <c r="I8" s="475">
        <f t="shared" si="8"/>
        <v>0</v>
      </c>
      <c r="M8" s="422" t="s">
        <v>425</v>
      </c>
      <c r="N8" s="422" t="s">
        <v>531</v>
      </c>
      <c r="O8" s="544"/>
      <c r="P8" s="587"/>
      <c r="Q8" s="589">
        <f t="shared" si="2"/>
        <v>0</v>
      </c>
      <c r="R8" s="589">
        <f t="shared" si="3"/>
        <v>0</v>
      </c>
      <c r="S8" s="422">
        <f t="shared" si="4"/>
        <v>0</v>
      </c>
      <c r="T8" s="497">
        <f t="shared" si="5"/>
        <v>0</v>
      </c>
      <c r="U8" s="493">
        <f t="shared" si="6"/>
        <v>25</v>
      </c>
      <c r="V8" s="423">
        <f t="shared" si="7"/>
        <v>0</v>
      </c>
      <c r="W8" s="424"/>
    </row>
    <row r="9" spans="1:23">
      <c r="A9" s="367"/>
      <c r="B9" s="367"/>
      <c r="C9" s="367"/>
      <c r="D9" s="367"/>
      <c r="E9" s="539" t="s">
        <v>732</v>
      </c>
      <c r="F9" s="540"/>
      <c r="G9" s="473">
        <f t="shared" si="0"/>
        <v>0</v>
      </c>
      <c r="H9" s="481">
        <f t="shared" si="1"/>
        <v>312.72000000000003</v>
      </c>
      <c r="I9" s="475">
        <f t="shared" ref="I9:I15" si="9">G9*H9</f>
        <v>0</v>
      </c>
      <c r="M9" s="422" t="s">
        <v>426</v>
      </c>
      <c r="N9" s="422" t="s">
        <v>531</v>
      </c>
      <c r="O9" s="544">
        <v>1</v>
      </c>
      <c r="P9" s="587">
        <v>25</v>
      </c>
      <c r="Q9" s="589">
        <f t="shared" si="2"/>
        <v>10.335624999999999</v>
      </c>
      <c r="R9" s="589">
        <f t="shared" si="3"/>
        <v>39.090000000000003</v>
      </c>
      <c r="S9" s="422">
        <f t="shared" si="4"/>
        <v>0</v>
      </c>
      <c r="T9" s="497">
        <f t="shared" si="5"/>
        <v>0</v>
      </c>
      <c r="U9" s="493">
        <f t="shared" si="6"/>
        <v>25</v>
      </c>
      <c r="V9" s="423">
        <f t="shared" si="7"/>
        <v>0</v>
      </c>
      <c r="W9" s="424"/>
    </row>
    <row r="10" spans="1:23">
      <c r="A10" s="367"/>
      <c r="B10" s="367"/>
      <c r="C10" s="367"/>
      <c r="D10" s="367"/>
      <c r="E10" s="539"/>
      <c r="F10" s="540"/>
      <c r="G10" s="473">
        <f t="shared" si="0"/>
        <v>0</v>
      </c>
      <c r="H10" s="481">
        <f t="shared" si="1"/>
        <v>0</v>
      </c>
      <c r="I10" s="475">
        <f t="shared" si="9"/>
        <v>0</v>
      </c>
      <c r="M10" s="422" t="s">
        <v>427</v>
      </c>
      <c r="N10" s="422" t="s">
        <v>531</v>
      </c>
      <c r="O10" s="544"/>
      <c r="P10" s="587"/>
      <c r="Q10" s="589">
        <f t="shared" si="2"/>
        <v>0</v>
      </c>
      <c r="R10" s="589">
        <f t="shared" si="3"/>
        <v>0</v>
      </c>
      <c r="S10" s="422">
        <f t="shared" si="4"/>
        <v>0</v>
      </c>
      <c r="T10" s="497">
        <f t="shared" si="5"/>
        <v>0</v>
      </c>
      <c r="U10" s="493">
        <f t="shared" si="6"/>
        <v>25</v>
      </c>
      <c r="V10" s="423">
        <f t="shared" si="7"/>
        <v>0</v>
      </c>
      <c r="W10" s="424"/>
    </row>
    <row r="11" spans="1:23">
      <c r="A11" s="367"/>
      <c r="B11" s="367"/>
      <c r="C11" s="367"/>
      <c r="D11" s="367"/>
      <c r="E11" s="539"/>
      <c r="F11" s="540"/>
      <c r="G11" s="473">
        <f t="shared" si="0"/>
        <v>0</v>
      </c>
      <c r="H11" s="481">
        <f t="shared" si="1"/>
        <v>0</v>
      </c>
      <c r="I11" s="475">
        <f t="shared" si="9"/>
        <v>0</v>
      </c>
      <c r="M11" s="422" t="s">
        <v>429</v>
      </c>
      <c r="N11" s="422" t="s">
        <v>532</v>
      </c>
      <c r="O11" s="544">
        <v>1</v>
      </c>
      <c r="P11" s="587">
        <v>15</v>
      </c>
      <c r="Q11" s="589">
        <f t="shared" si="2"/>
        <v>6.2013749999999996</v>
      </c>
      <c r="R11" s="589">
        <f t="shared" si="3"/>
        <v>23.45</v>
      </c>
      <c r="S11" s="422">
        <f t="shared" si="4"/>
        <v>4800</v>
      </c>
      <c r="T11" s="497">
        <f t="shared" si="5"/>
        <v>112560</v>
      </c>
      <c r="U11" s="493">
        <f t="shared" si="6"/>
        <v>15</v>
      </c>
      <c r="V11" s="423">
        <f t="shared" si="7"/>
        <v>0.29556650246305421</v>
      </c>
      <c r="W11" s="424"/>
    </row>
    <row r="12" spans="1:23">
      <c r="A12" s="367"/>
      <c r="B12" s="367"/>
      <c r="C12" s="367"/>
      <c r="D12" s="367"/>
      <c r="E12" s="539"/>
      <c r="F12" s="540"/>
      <c r="G12" s="473">
        <f t="shared" si="0"/>
        <v>0</v>
      </c>
      <c r="H12" s="481">
        <f t="shared" si="1"/>
        <v>0</v>
      </c>
      <c r="I12" s="475">
        <f t="shared" si="9"/>
        <v>0</v>
      </c>
      <c r="M12" s="422" t="s">
        <v>432</v>
      </c>
      <c r="N12" s="422" t="s">
        <v>531</v>
      </c>
      <c r="O12" s="544">
        <v>2</v>
      </c>
      <c r="P12" s="587">
        <v>25</v>
      </c>
      <c r="Q12" s="589">
        <f t="shared" si="2"/>
        <v>10.335624999999999</v>
      </c>
      <c r="R12" s="589">
        <f t="shared" si="3"/>
        <v>39.090000000000003</v>
      </c>
      <c r="S12" s="422">
        <f t="shared" si="4"/>
        <v>7680</v>
      </c>
      <c r="T12" s="497">
        <f t="shared" si="5"/>
        <v>300211.20000000001</v>
      </c>
      <c r="U12" s="493">
        <f t="shared" si="6"/>
        <v>25</v>
      </c>
      <c r="V12" s="423">
        <f t="shared" si="7"/>
        <v>0.47290640394088668</v>
      </c>
      <c r="W12" s="424"/>
    </row>
    <row r="13" spans="1:23">
      <c r="A13" s="367"/>
      <c r="B13" s="367"/>
      <c r="C13" s="367"/>
      <c r="D13" s="367"/>
      <c r="E13" s="539"/>
      <c r="F13" s="540"/>
      <c r="G13" s="473">
        <f t="shared" si="0"/>
        <v>0</v>
      </c>
      <c r="H13" s="481">
        <f t="shared" si="1"/>
        <v>0</v>
      </c>
      <c r="I13" s="475">
        <f t="shared" si="9"/>
        <v>0</v>
      </c>
      <c r="M13" s="422" t="s">
        <v>433</v>
      </c>
      <c r="N13" s="422" t="s">
        <v>531</v>
      </c>
      <c r="O13" s="544"/>
      <c r="P13" s="587"/>
      <c r="Q13" s="589">
        <f t="shared" si="2"/>
        <v>0</v>
      </c>
      <c r="R13" s="589">
        <f t="shared" si="3"/>
        <v>0</v>
      </c>
      <c r="S13" s="422">
        <f t="shared" si="4"/>
        <v>0</v>
      </c>
      <c r="T13" s="497">
        <f t="shared" si="5"/>
        <v>0</v>
      </c>
      <c r="U13" s="493">
        <f t="shared" si="6"/>
        <v>25</v>
      </c>
      <c r="V13" s="423">
        <f t="shared" si="7"/>
        <v>0</v>
      </c>
      <c r="W13" s="424"/>
    </row>
    <row r="14" spans="1:23">
      <c r="A14" s="367"/>
      <c r="B14" s="367"/>
      <c r="C14" s="367"/>
      <c r="D14" s="367"/>
      <c r="E14" s="539"/>
      <c r="F14" s="540"/>
      <c r="G14" s="473">
        <f t="shared" si="0"/>
        <v>0</v>
      </c>
      <c r="H14" s="481">
        <f t="shared" si="1"/>
        <v>0</v>
      </c>
      <c r="I14" s="475">
        <f t="shared" si="9"/>
        <v>0</v>
      </c>
      <c r="M14" s="422" t="s">
        <v>430</v>
      </c>
      <c r="N14" s="422" t="s">
        <v>532</v>
      </c>
      <c r="O14" s="544"/>
      <c r="P14" s="587"/>
      <c r="Q14" s="589">
        <f t="shared" si="2"/>
        <v>0</v>
      </c>
      <c r="R14" s="589">
        <f t="shared" si="3"/>
        <v>0</v>
      </c>
      <c r="S14" s="422">
        <f t="shared" si="4"/>
        <v>0</v>
      </c>
      <c r="T14" s="497">
        <f t="shared" si="5"/>
        <v>0</v>
      </c>
      <c r="U14" s="493">
        <f t="shared" si="6"/>
        <v>15</v>
      </c>
      <c r="V14" s="423">
        <f t="shared" si="7"/>
        <v>0</v>
      </c>
      <c r="W14" s="424"/>
    </row>
    <row r="15" spans="1:23">
      <c r="A15" s="367"/>
      <c r="B15" s="367"/>
      <c r="C15" s="367"/>
      <c r="D15" s="367"/>
      <c r="E15" s="539"/>
      <c r="F15" s="540"/>
      <c r="G15" s="473">
        <f t="shared" si="0"/>
        <v>0</v>
      </c>
      <c r="H15" s="481">
        <f t="shared" si="1"/>
        <v>0</v>
      </c>
      <c r="I15" s="475">
        <f t="shared" si="9"/>
        <v>0</v>
      </c>
      <c r="M15" s="422" t="s">
        <v>732</v>
      </c>
      <c r="N15" s="422" t="s">
        <v>531</v>
      </c>
      <c r="O15" s="544">
        <v>1</v>
      </c>
      <c r="P15" s="587">
        <v>25</v>
      </c>
      <c r="Q15" s="589">
        <f t="shared" si="2"/>
        <v>10.335624999999999</v>
      </c>
      <c r="R15" s="589">
        <f t="shared" si="3"/>
        <v>39.090000000000003</v>
      </c>
      <c r="S15" s="422">
        <f t="shared" si="4"/>
        <v>0</v>
      </c>
      <c r="T15" s="497">
        <f t="shared" si="5"/>
        <v>0</v>
      </c>
      <c r="U15" s="493">
        <f t="shared" si="6"/>
        <v>25</v>
      </c>
      <c r="V15" s="423">
        <f t="shared" si="7"/>
        <v>0</v>
      </c>
      <c r="W15" s="424"/>
    </row>
    <row r="16" spans="1:23">
      <c r="A16" s="370" t="s">
        <v>540</v>
      </c>
      <c r="B16" s="543">
        <v>24</v>
      </c>
      <c r="C16" s="473">
        <f>SUM(G16:G27)</f>
        <v>960</v>
      </c>
      <c r="D16" s="474">
        <f>IFERROR(SUM(I16:I27)/C16,0)</f>
        <v>312.72000000000003</v>
      </c>
      <c r="E16" s="539" t="s">
        <v>432</v>
      </c>
      <c r="F16" s="540">
        <v>1</v>
      </c>
      <c r="G16" s="473">
        <f>IFERROR(VLOOKUP(E16,$M$4:$O$27,3,0)*F16*$B$16*20,)</f>
        <v>960</v>
      </c>
      <c r="H16" s="481">
        <f t="shared" si="1"/>
        <v>312.72000000000003</v>
      </c>
      <c r="I16" s="475">
        <f t="shared" si="8"/>
        <v>300211.20000000001</v>
      </c>
      <c r="M16" s="422" t="s">
        <v>434</v>
      </c>
      <c r="N16" s="422" t="s">
        <v>532</v>
      </c>
      <c r="O16" s="544"/>
      <c r="P16" s="587"/>
      <c r="Q16" s="589">
        <f t="shared" si="2"/>
        <v>0</v>
      </c>
      <c r="R16" s="589">
        <f t="shared" si="3"/>
        <v>0</v>
      </c>
      <c r="S16" s="422">
        <f t="shared" si="4"/>
        <v>0</v>
      </c>
      <c r="T16" s="497">
        <f t="shared" si="5"/>
        <v>0</v>
      </c>
      <c r="U16" s="493">
        <f t="shared" si="6"/>
        <v>15</v>
      </c>
      <c r="V16" s="423">
        <f t="shared" si="7"/>
        <v>0</v>
      </c>
      <c r="W16" s="424"/>
    </row>
    <row r="17" spans="1:23">
      <c r="A17" s="367"/>
      <c r="B17" s="367"/>
      <c r="C17" s="367"/>
      <c r="D17" s="367"/>
      <c r="E17" s="539"/>
      <c r="F17" s="540"/>
      <c r="G17" s="473">
        <f t="shared" ref="G17:G27" si="10">IFERROR(VLOOKUP(E17,$M$4:$O$27,3,0)*F17*$B$16*20,)</f>
        <v>0</v>
      </c>
      <c r="H17" s="481">
        <f t="shared" si="1"/>
        <v>0</v>
      </c>
      <c r="I17" s="475">
        <f t="shared" si="8"/>
        <v>0</v>
      </c>
      <c r="M17" s="422" t="s">
        <v>734</v>
      </c>
      <c r="N17" s="422" t="s">
        <v>532</v>
      </c>
      <c r="O17" s="544"/>
      <c r="P17" s="587"/>
      <c r="Q17" s="589">
        <f t="shared" si="2"/>
        <v>0</v>
      </c>
      <c r="R17" s="589">
        <f t="shared" si="3"/>
        <v>0</v>
      </c>
      <c r="S17" s="422">
        <f t="shared" si="4"/>
        <v>0</v>
      </c>
      <c r="T17" s="497">
        <f t="shared" si="5"/>
        <v>0</v>
      </c>
      <c r="U17" s="493">
        <f t="shared" si="6"/>
        <v>15</v>
      </c>
      <c r="V17" s="423">
        <f t="shared" si="7"/>
        <v>0</v>
      </c>
      <c r="W17" s="424"/>
    </row>
    <row r="18" spans="1:23">
      <c r="A18" s="367"/>
      <c r="B18" s="367"/>
      <c r="C18" s="367"/>
      <c r="D18" s="367"/>
      <c r="E18" s="539"/>
      <c r="F18" s="540"/>
      <c r="G18" s="473">
        <f t="shared" si="10"/>
        <v>0</v>
      </c>
      <c r="H18" s="481">
        <f t="shared" si="1"/>
        <v>0</v>
      </c>
      <c r="I18" s="475">
        <f t="shared" si="8"/>
        <v>0</v>
      </c>
      <c r="M18" s="422" t="s">
        <v>735</v>
      </c>
      <c r="N18" s="422" t="s">
        <v>531</v>
      </c>
      <c r="O18" s="544"/>
      <c r="P18" s="587"/>
      <c r="Q18" s="589">
        <f t="shared" si="2"/>
        <v>0</v>
      </c>
      <c r="R18" s="589">
        <f t="shared" si="3"/>
        <v>0</v>
      </c>
      <c r="S18" s="422">
        <f t="shared" si="4"/>
        <v>0</v>
      </c>
      <c r="T18" s="497">
        <f t="shared" si="5"/>
        <v>0</v>
      </c>
      <c r="U18" s="493">
        <f t="shared" si="6"/>
        <v>25</v>
      </c>
      <c r="V18" s="423">
        <f t="shared" si="7"/>
        <v>0</v>
      </c>
      <c r="W18" s="424"/>
    </row>
    <row r="19" spans="1:23">
      <c r="A19" s="367"/>
      <c r="B19" s="367"/>
      <c r="C19" s="367"/>
      <c r="D19" s="367"/>
      <c r="E19" s="539"/>
      <c r="F19" s="540"/>
      <c r="G19" s="473">
        <f t="shared" si="10"/>
        <v>0</v>
      </c>
      <c r="H19" s="481">
        <f t="shared" si="1"/>
        <v>0</v>
      </c>
      <c r="I19" s="475">
        <f t="shared" si="8"/>
        <v>0</v>
      </c>
      <c r="M19" s="422" t="s">
        <v>680</v>
      </c>
      <c r="N19" s="422" t="s">
        <v>531</v>
      </c>
      <c r="O19" s="544"/>
      <c r="P19" s="587"/>
      <c r="Q19" s="589">
        <f t="shared" si="2"/>
        <v>0</v>
      </c>
      <c r="R19" s="589">
        <f t="shared" si="3"/>
        <v>0</v>
      </c>
      <c r="S19" s="422">
        <f t="shared" si="4"/>
        <v>0</v>
      </c>
      <c r="T19" s="497">
        <f t="shared" si="5"/>
        <v>0</v>
      </c>
      <c r="U19" s="493">
        <f t="shared" si="6"/>
        <v>25</v>
      </c>
      <c r="V19" s="423">
        <f t="shared" si="7"/>
        <v>0</v>
      </c>
      <c r="W19" s="424"/>
    </row>
    <row r="20" spans="1:23">
      <c r="A20" s="367"/>
      <c r="B20" s="367"/>
      <c r="C20" s="367"/>
      <c r="D20" s="367"/>
      <c r="E20" s="539"/>
      <c r="F20" s="540"/>
      <c r="G20" s="473">
        <f t="shared" si="10"/>
        <v>0</v>
      </c>
      <c r="H20" s="481">
        <f t="shared" si="1"/>
        <v>0</v>
      </c>
      <c r="I20" s="475">
        <f t="shared" si="8"/>
        <v>0</v>
      </c>
      <c r="M20" s="422" t="s">
        <v>672</v>
      </c>
      <c r="N20" s="422" t="s">
        <v>532</v>
      </c>
      <c r="O20" s="544">
        <v>1</v>
      </c>
      <c r="P20" s="587">
        <v>15</v>
      </c>
      <c r="Q20" s="589">
        <f t="shared" si="2"/>
        <v>6.2013749999999996</v>
      </c>
      <c r="R20" s="589">
        <f t="shared" si="3"/>
        <v>23.45</v>
      </c>
      <c r="S20" s="422">
        <f t="shared" si="4"/>
        <v>1920</v>
      </c>
      <c r="T20" s="497">
        <f t="shared" si="5"/>
        <v>45024</v>
      </c>
      <c r="U20" s="493">
        <f t="shared" si="6"/>
        <v>15</v>
      </c>
      <c r="V20" s="423">
        <f t="shared" si="7"/>
        <v>0.11822660098522167</v>
      </c>
      <c r="W20" s="424"/>
    </row>
    <row r="21" spans="1:23">
      <c r="A21" s="367"/>
      <c r="B21" s="367"/>
      <c r="C21" s="367"/>
      <c r="D21" s="367"/>
      <c r="E21" s="539"/>
      <c r="F21" s="540"/>
      <c r="G21" s="473">
        <f t="shared" si="10"/>
        <v>0</v>
      </c>
      <c r="H21" s="481">
        <f t="shared" si="1"/>
        <v>0</v>
      </c>
      <c r="I21" s="475">
        <f t="shared" si="8"/>
        <v>0</v>
      </c>
      <c r="M21" s="545" t="s">
        <v>736</v>
      </c>
      <c r="N21" s="545" t="s">
        <v>532</v>
      </c>
      <c r="O21" s="544"/>
      <c r="P21" s="587"/>
      <c r="Q21" s="589">
        <f t="shared" si="2"/>
        <v>0</v>
      </c>
      <c r="R21" s="589">
        <f t="shared" si="3"/>
        <v>0</v>
      </c>
      <c r="S21" s="422">
        <f t="shared" si="4"/>
        <v>0</v>
      </c>
      <c r="T21" s="497">
        <f t="shared" si="5"/>
        <v>0</v>
      </c>
      <c r="U21" s="493">
        <f t="shared" si="6"/>
        <v>15</v>
      </c>
      <c r="V21" s="423">
        <f t="shared" si="7"/>
        <v>0</v>
      </c>
      <c r="W21" s="424"/>
    </row>
    <row r="22" spans="1:23">
      <c r="A22" s="367"/>
      <c r="B22" s="591"/>
      <c r="C22" s="591"/>
      <c r="D22" s="592"/>
      <c r="E22" s="539"/>
      <c r="F22" s="540"/>
      <c r="G22" s="473">
        <f t="shared" si="10"/>
        <v>0</v>
      </c>
      <c r="H22" s="481">
        <f t="shared" si="1"/>
        <v>0</v>
      </c>
      <c r="I22" s="475">
        <f t="shared" si="8"/>
        <v>0</v>
      </c>
      <c r="M22" s="545"/>
      <c r="N22" s="545"/>
      <c r="O22" s="544"/>
      <c r="P22" s="587"/>
      <c r="Q22" s="589">
        <f t="shared" si="2"/>
        <v>0</v>
      </c>
      <c r="R22" s="589">
        <f t="shared" si="3"/>
        <v>0</v>
      </c>
      <c r="S22" s="422">
        <f t="shared" si="4"/>
        <v>0</v>
      </c>
      <c r="T22" s="497">
        <f t="shared" si="5"/>
        <v>0</v>
      </c>
      <c r="U22" s="493">
        <f t="shared" si="6"/>
        <v>15</v>
      </c>
      <c r="V22" s="423">
        <f t="shared" si="7"/>
        <v>0</v>
      </c>
      <c r="W22" s="424"/>
    </row>
    <row r="23" spans="1:23">
      <c r="A23" s="367"/>
      <c r="B23" s="367"/>
      <c r="C23" s="367"/>
      <c r="D23" s="367"/>
      <c r="E23" s="539"/>
      <c r="F23" s="540"/>
      <c r="G23" s="473">
        <f t="shared" si="10"/>
        <v>0</v>
      </c>
      <c r="H23" s="481">
        <f t="shared" si="1"/>
        <v>0</v>
      </c>
      <c r="I23" s="475">
        <f t="shared" si="8"/>
        <v>0</v>
      </c>
      <c r="M23" s="545"/>
      <c r="N23" s="545"/>
      <c r="O23" s="544"/>
      <c r="P23" s="587"/>
      <c r="Q23" s="589">
        <f t="shared" si="2"/>
        <v>0</v>
      </c>
      <c r="R23" s="589">
        <f t="shared" si="3"/>
        <v>0</v>
      </c>
      <c r="S23" s="422">
        <f t="shared" si="4"/>
        <v>0</v>
      </c>
      <c r="T23" s="497">
        <f t="shared" si="5"/>
        <v>0</v>
      </c>
      <c r="U23" s="493">
        <f t="shared" si="6"/>
        <v>15</v>
      </c>
      <c r="V23" s="423">
        <f t="shared" si="7"/>
        <v>0</v>
      </c>
      <c r="W23" s="424"/>
    </row>
    <row r="24" spans="1:23">
      <c r="A24" s="367"/>
      <c r="B24" s="367"/>
      <c r="C24" s="367"/>
      <c r="D24" s="367"/>
      <c r="E24" s="539"/>
      <c r="F24" s="540"/>
      <c r="G24" s="473">
        <f t="shared" si="10"/>
        <v>0</v>
      </c>
      <c r="H24" s="481">
        <f t="shared" si="1"/>
        <v>0</v>
      </c>
      <c r="I24" s="475">
        <f t="shared" si="8"/>
        <v>0</v>
      </c>
      <c r="M24" s="545"/>
      <c r="N24" s="545"/>
      <c r="O24" s="544"/>
      <c r="P24" s="587"/>
      <c r="Q24" s="589">
        <f t="shared" si="2"/>
        <v>0</v>
      </c>
      <c r="R24" s="589">
        <f t="shared" si="3"/>
        <v>0</v>
      </c>
      <c r="S24" s="422">
        <f t="shared" si="4"/>
        <v>0</v>
      </c>
      <c r="T24" s="497">
        <f t="shared" si="5"/>
        <v>0</v>
      </c>
      <c r="U24" s="493">
        <f t="shared" si="6"/>
        <v>15</v>
      </c>
      <c r="V24" s="423">
        <f t="shared" si="7"/>
        <v>0</v>
      </c>
      <c r="W24" s="424"/>
    </row>
    <row r="25" spans="1:23">
      <c r="A25" s="367"/>
      <c r="B25" s="367"/>
      <c r="C25" s="367"/>
      <c r="D25" s="367"/>
      <c r="E25" s="539"/>
      <c r="F25" s="540"/>
      <c r="G25" s="473">
        <f t="shared" si="10"/>
        <v>0</v>
      </c>
      <c r="H25" s="481">
        <f t="shared" si="1"/>
        <v>0</v>
      </c>
      <c r="I25" s="475">
        <f t="shared" si="8"/>
        <v>0</v>
      </c>
      <c r="M25" s="545"/>
      <c r="N25" s="545"/>
      <c r="O25" s="544"/>
      <c r="P25" s="587"/>
      <c r="Q25" s="589">
        <f t="shared" si="2"/>
        <v>0</v>
      </c>
      <c r="R25" s="589">
        <f t="shared" si="3"/>
        <v>0</v>
      </c>
      <c r="S25" s="422">
        <f t="shared" si="4"/>
        <v>0</v>
      </c>
      <c r="T25" s="497">
        <f t="shared" si="5"/>
        <v>0</v>
      </c>
      <c r="U25" s="493">
        <f t="shared" si="6"/>
        <v>15</v>
      </c>
      <c r="V25" s="423">
        <f t="shared" si="7"/>
        <v>0</v>
      </c>
      <c r="W25" s="424"/>
    </row>
    <row r="26" spans="1:23">
      <c r="A26" s="367"/>
      <c r="B26" s="367"/>
      <c r="C26" s="367"/>
      <c r="D26" s="367"/>
      <c r="E26" s="539"/>
      <c r="F26" s="540"/>
      <c r="G26" s="473">
        <f t="shared" si="10"/>
        <v>0</v>
      </c>
      <c r="H26" s="481">
        <f t="shared" si="1"/>
        <v>0</v>
      </c>
      <c r="I26" s="475">
        <f t="shared" si="8"/>
        <v>0</v>
      </c>
      <c r="M26" s="545"/>
      <c r="N26" s="545"/>
      <c r="O26" s="544"/>
      <c r="P26" s="587"/>
      <c r="Q26" s="589">
        <f t="shared" si="2"/>
        <v>0</v>
      </c>
      <c r="R26" s="589">
        <f t="shared" si="3"/>
        <v>0</v>
      </c>
      <c r="S26" s="422">
        <f t="shared" si="4"/>
        <v>0</v>
      </c>
      <c r="T26" s="497">
        <f t="shared" si="5"/>
        <v>0</v>
      </c>
      <c r="U26" s="493">
        <f t="shared" ref="U26:U27" si="11">IF(N26="hlavná",25,15)</f>
        <v>15</v>
      </c>
      <c r="V26" s="423">
        <f t="shared" si="7"/>
        <v>0</v>
      </c>
      <c r="W26" s="424"/>
    </row>
    <row r="27" spans="1:23">
      <c r="A27" s="367"/>
      <c r="B27" s="367"/>
      <c r="C27" s="367"/>
      <c r="D27" s="367"/>
      <c r="E27" s="539"/>
      <c r="F27" s="540"/>
      <c r="G27" s="473">
        <f t="shared" si="10"/>
        <v>0</v>
      </c>
      <c r="H27" s="481">
        <f t="shared" si="1"/>
        <v>0</v>
      </c>
      <c r="I27" s="475">
        <f t="shared" si="8"/>
        <v>0</v>
      </c>
      <c r="M27" s="545"/>
      <c r="N27" s="545"/>
      <c r="O27" s="544"/>
      <c r="P27" s="587"/>
      <c r="Q27" s="589">
        <f t="shared" si="2"/>
        <v>0</v>
      </c>
      <c r="R27" s="589">
        <f t="shared" si="3"/>
        <v>0</v>
      </c>
      <c r="S27" s="422">
        <f t="shared" si="4"/>
        <v>0</v>
      </c>
      <c r="T27" s="497">
        <f t="shared" si="5"/>
        <v>0</v>
      </c>
      <c r="U27" s="493">
        <f t="shared" si="11"/>
        <v>15</v>
      </c>
      <c r="V27" s="423">
        <f t="shared" si="7"/>
        <v>0</v>
      </c>
      <c r="W27" s="424"/>
    </row>
    <row r="28" spans="1:23">
      <c r="A28" s="370" t="s">
        <v>264</v>
      </c>
      <c r="B28" s="543">
        <v>22</v>
      </c>
      <c r="C28" s="473">
        <f>SUM(G28:G39)</f>
        <v>0</v>
      </c>
      <c r="D28" s="474">
        <f>IFERROR(SUM(I28:I39)/C28,0)</f>
        <v>0</v>
      </c>
      <c r="E28" s="539"/>
      <c r="F28" s="540"/>
      <c r="G28" s="473">
        <f>IFERROR(VLOOKUP(E28,$M$4:$O$27,3,0)*F28*$B$28*20,)</f>
        <v>0</v>
      </c>
      <c r="H28" s="481">
        <f t="shared" si="1"/>
        <v>0</v>
      </c>
      <c r="I28" s="475">
        <f t="shared" si="8"/>
        <v>0</v>
      </c>
    </row>
    <row r="29" spans="1:23">
      <c r="A29" s="367"/>
      <c r="B29" s="367"/>
      <c r="C29" s="367"/>
      <c r="D29" s="367"/>
      <c r="E29" s="539"/>
      <c r="F29" s="540"/>
      <c r="G29" s="473">
        <f t="shared" ref="G29:G39" si="12">IFERROR(VLOOKUP(E29,$M$4:$O$27,3,0)*F29*$B$28*20,)</f>
        <v>0</v>
      </c>
      <c r="H29" s="481">
        <f t="shared" si="1"/>
        <v>0</v>
      </c>
      <c r="I29" s="475">
        <f t="shared" si="8"/>
        <v>0</v>
      </c>
    </row>
    <row r="30" spans="1:23">
      <c r="A30" s="367"/>
      <c r="B30" s="367"/>
      <c r="C30" s="367"/>
      <c r="D30" s="367"/>
      <c r="E30" s="539"/>
      <c r="F30" s="540"/>
      <c r="G30" s="473">
        <f t="shared" si="12"/>
        <v>0</v>
      </c>
      <c r="H30" s="481">
        <f t="shared" si="1"/>
        <v>0</v>
      </c>
      <c r="I30" s="475">
        <f t="shared" si="8"/>
        <v>0</v>
      </c>
    </row>
    <row r="31" spans="1:23">
      <c r="A31" s="367"/>
      <c r="B31" s="367"/>
      <c r="C31" s="367"/>
      <c r="D31" s="367"/>
      <c r="E31" s="539"/>
      <c r="F31" s="540"/>
      <c r="G31" s="473">
        <f t="shared" si="12"/>
        <v>0</v>
      </c>
      <c r="H31" s="481">
        <f t="shared" si="1"/>
        <v>0</v>
      </c>
      <c r="I31" s="475">
        <f t="shared" si="8"/>
        <v>0</v>
      </c>
    </row>
    <row r="32" spans="1:23">
      <c r="A32" s="367"/>
      <c r="B32" s="367"/>
      <c r="C32" s="367"/>
      <c r="D32" s="367"/>
      <c r="E32" s="539"/>
      <c r="F32" s="540"/>
      <c r="G32" s="473">
        <f t="shared" si="12"/>
        <v>0</v>
      </c>
      <c r="H32" s="481">
        <f t="shared" si="1"/>
        <v>0</v>
      </c>
      <c r="I32" s="475">
        <f t="shared" si="8"/>
        <v>0</v>
      </c>
    </row>
    <row r="33" spans="1:9">
      <c r="A33" s="367"/>
      <c r="B33" s="367"/>
      <c r="C33" s="367"/>
      <c r="D33" s="367"/>
      <c r="E33" s="539"/>
      <c r="F33" s="540"/>
      <c r="G33" s="473">
        <f t="shared" si="12"/>
        <v>0</v>
      </c>
      <c r="H33" s="481">
        <f t="shared" si="1"/>
        <v>0</v>
      </c>
      <c r="I33" s="475">
        <f t="shared" si="8"/>
        <v>0</v>
      </c>
    </row>
    <row r="34" spans="1:9">
      <c r="A34" s="367"/>
      <c r="B34" s="367"/>
      <c r="C34" s="367"/>
      <c r="D34" s="367"/>
      <c r="E34" s="539"/>
      <c r="F34" s="540"/>
      <c r="G34" s="473">
        <f t="shared" si="12"/>
        <v>0</v>
      </c>
      <c r="H34" s="481">
        <f t="shared" si="1"/>
        <v>0</v>
      </c>
      <c r="I34" s="475">
        <f t="shared" ref="I34:I39" si="13">G34*H34</f>
        <v>0</v>
      </c>
    </row>
    <row r="35" spans="1:9">
      <c r="A35" s="367"/>
      <c r="B35" s="367"/>
      <c r="C35" s="367"/>
      <c r="D35" s="367"/>
      <c r="E35" s="539"/>
      <c r="F35" s="540"/>
      <c r="G35" s="473">
        <f t="shared" si="12"/>
        <v>0</v>
      </c>
      <c r="H35" s="481">
        <f t="shared" si="1"/>
        <v>0</v>
      </c>
      <c r="I35" s="475">
        <f t="shared" si="13"/>
        <v>0</v>
      </c>
    </row>
    <row r="36" spans="1:9">
      <c r="A36" s="367"/>
      <c r="B36" s="367"/>
      <c r="C36" s="367"/>
      <c r="D36" s="367"/>
      <c r="E36" s="539"/>
      <c r="F36" s="540"/>
      <c r="G36" s="473">
        <f t="shared" si="12"/>
        <v>0</v>
      </c>
      <c r="H36" s="481">
        <f t="shared" si="1"/>
        <v>0</v>
      </c>
      <c r="I36" s="475">
        <f t="shared" si="13"/>
        <v>0</v>
      </c>
    </row>
    <row r="37" spans="1:9">
      <c r="A37" s="367"/>
      <c r="B37" s="367"/>
      <c r="C37" s="367"/>
      <c r="D37" s="367"/>
      <c r="E37" s="539"/>
      <c r="F37" s="540"/>
      <c r="G37" s="473">
        <f t="shared" si="12"/>
        <v>0</v>
      </c>
      <c r="H37" s="481">
        <f t="shared" si="1"/>
        <v>0</v>
      </c>
      <c r="I37" s="475">
        <f t="shared" si="13"/>
        <v>0</v>
      </c>
    </row>
    <row r="38" spans="1:9">
      <c r="A38" s="367"/>
      <c r="B38" s="367"/>
      <c r="C38" s="367"/>
      <c r="D38" s="367"/>
      <c r="E38" s="539"/>
      <c r="F38" s="540"/>
      <c r="G38" s="473">
        <f t="shared" si="12"/>
        <v>0</v>
      </c>
      <c r="H38" s="481">
        <f t="shared" si="1"/>
        <v>0</v>
      </c>
      <c r="I38" s="475">
        <f t="shared" si="13"/>
        <v>0</v>
      </c>
    </row>
    <row r="39" spans="1:9">
      <c r="A39" s="367"/>
      <c r="B39" s="367"/>
      <c r="C39" s="367"/>
      <c r="D39" s="367"/>
      <c r="E39" s="539"/>
      <c r="F39" s="540"/>
      <c r="G39" s="473">
        <f t="shared" si="12"/>
        <v>0</v>
      </c>
      <c r="H39" s="481">
        <f t="shared" si="1"/>
        <v>0</v>
      </c>
      <c r="I39" s="475">
        <f t="shared" si="13"/>
        <v>0</v>
      </c>
    </row>
    <row r="40" spans="1:9">
      <c r="A40" s="370" t="s">
        <v>236</v>
      </c>
      <c r="B40" s="543">
        <v>30</v>
      </c>
      <c r="C40" s="473">
        <f>SUM(G40:G51)</f>
        <v>600</v>
      </c>
      <c r="D40" s="474">
        <f>IFERROR(SUM(I40:I51)/C40,)</f>
        <v>187.6</v>
      </c>
      <c r="E40" s="539" t="s">
        <v>429</v>
      </c>
      <c r="F40" s="540">
        <v>1</v>
      </c>
      <c r="G40" s="473">
        <f>IFERROR(VLOOKUP(E40,$M$4:$O$27,3,0)*F40*$B$40*20,)</f>
        <v>600</v>
      </c>
      <c r="H40" s="481">
        <f t="shared" si="1"/>
        <v>187.6</v>
      </c>
      <c r="I40" s="475">
        <f t="shared" ref="I40:I45" si="14">G40*H40</f>
        <v>112560</v>
      </c>
    </row>
    <row r="41" spans="1:9">
      <c r="A41" s="367"/>
      <c r="B41" s="367"/>
      <c r="C41" s="367"/>
      <c r="D41" s="367"/>
      <c r="E41" s="539"/>
      <c r="F41" s="540"/>
      <c r="G41" s="473">
        <f t="shared" ref="G41:G51" si="15">IFERROR(VLOOKUP(E41,$M$4:$O$27,3,0)*F41*$B$40*20,)</f>
        <v>0</v>
      </c>
      <c r="H41" s="481">
        <f t="shared" si="1"/>
        <v>0</v>
      </c>
      <c r="I41" s="475">
        <f t="shared" si="14"/>
        <v>0</v>
      </c>
    </row>
    <row r="42" spans="1:9">
      <c r="A42" s="367"/>
      <c r="B42" s="367"/>
      <c r="C42" s="367"/>
      <c r="D42" s="367"/>
      <c r="E42" s="539"/>
      <c r="F42" s="540"/>
      <c r="G42" s="473">
        <f t="shared" si="15"/>
        <v>0</v>
      </c>
      <c r="H42" s="481">
        <f t="shared" si="1"/>
        <v>0</v>
      </c>
      <c r="I42" s="475">
        <f t="shared" si="14"/>
        <v>0</v>
      </c>
    </row>
    <row r="43" spans="1:9">
      <c r="A43" s="367"/>
      <c r="B43" s="367"/>
      <c r="C43" s="367"/>
      <c r="D43" s="367"/>
      <c r="E43" s="539"/>
      <c r="F43" s="540"/>
      <c r="G43" s="473">
        <f t="shared" si="15"/>
        <v>0</v>
      </c>
      <c r="H43" s="481">
        <f t="shared" si="1"/>
        <v>0</v>
      </c>
      <c r="I43" s="475">
        <f t="shared" si="14"/>
        <v>0</v>
      </c>
    </row>
    <row r="44" spans="1:9">
      <c r="A44" s="367"/>
      <c r="B44" s="367"/>
      <c r="C44" s="367"/>
      <c r="D44" s="367"/>
      <c r="E44" s="539"/>
      <c r="F44" s="540"/>
      <c r="G44" s="473">
        <f t="shared" si="15"/>
        <v>0</v>
      </c>
      <c r="H44" s="481">
        <f t="shared" si="1"/>
        <v>0</v>
      </c>
      <c r="I44" s="475">
        <f t="shared" si="14"/>
        <v>0</v>
      </c>
    </row>
    <row r="45" spans="1:9">
      <c r="A45" s="367"/>
      <c r="B45" s="367"/>
      <c r="C45" s="367"/>
      <c r="D45" s="367"/>
      <c r="E45" s="539"/>
      <c r="F45" s="540"/>
      <c r="G45" s="473">
        <f t="shared" si="15"/>
        <v>0</v>
      </c>
      <c r="H45" s="481">
        <f t="shared" si="1"/>
        <v>0</v>
      </c>
      <c r="I45" s="475">
        <f t="shared" si="14"/>
        <v>0</v>
      </c>
    </row>
    <row r="46" spans="1:9">
      <c r="E46" s="539"/>
      <c r="F46" s="540"/>
      <c r="G46" s="473">
        <f t="shared" si="15"/>
        <v>0</v>
      </c>
      <c r="H46" s="481">
        <f t="shared" si="1"/>
        <v>0</v>
      </c>
      <c r="I46" s="475">
        <f t="shared" ref="I46:I50" si="16">G46*H46</f>
        <v>0</v>
      </c>
    </row>
    <row r="47" spans="1:9">
      <c r="E47" s="539"/>
      <c r="F47" s="540"/>
      <c r="G47" s="473">
        <f t="shared" si="15"/>
        <v>0</v>
      </c>
      <c r="H47" s="481">
        <f t="shared" si="1"/>
        <v>0</v>
      </c>
      <c r="I47" s="475">
        <f t="shared" si="16"/>
        <v>0</v>
      </c>
    </row>
    <row r="48" spans="1:9">
      <c r="E48" s="539"/>
      <c r="F48" s="540"/>
      <c r="G48" s="473">
        <f t="shared" si="15"/>
        <v>0</v>
      </c>
      <c r="H48" s="481">
        <f t="shared" si="1"/>
        <v>0</v>
      </c>
      <c r="I48" s="475">
        <f t="shared" si="16"/>
        <v>0</v>
      </c>
    </row>
    <row r="49" spans="1:9">
      <c r="E49" s="539"/>
      <c r="F49" s="540"/>
      <c r="G49" s="473">
        <f t="shared" si="15"/>
        <v>0</v>
      </c>
      <c r="H49" s="481">
        <f t="shared" si="1"/>
        <v>0</v>
      </c>
      <c r="I49" s="475">
        <f t="shared" si="16"/>
        <v>0</v>
      </c>
    </row>
    <row r="50" spans="1:9">
      <c r="E50" s="539"/>
      <c r="F50" s="540"/>
      <c r="G50" s="473">
        <f t="shared" si="15"/>
        <v>0</v>
      </c>
      <c r="H50" s="481">
        <f t="shared" si="1"/>
        <v>0</v>
      </c>
      <c r="I50" s="475">
        <f t="shared" si="16"/>
        <v>0</v>
      </c>
    </row>
    <row r="51" spans="1:9">
      <c r="E51" s="539"/>
      <c r="F51" s="540"/>
      <c r="G51" s="473">
        <f t="shared" si="15"/>
        <v>0</v>
      </c>
      <c r="H51" s="481">
        <f t="shared" si="1"/>
        <v>0</v>
      </c>
      <c r="I51" s="475">
        <f t="shared" ref="I51:I62" si="17">G51*H51</f>
        <v>0</v>
      </c>
    </row>
    <row r="52" spans="1:9">
      <c r="A52" s="370" t="s">
        <v>117</v>
      </c>
      <c r="B52" s="543">
        <v>12</v>
      </c>
      <c r="C52" s="473">
        <f>SUM(G52:G63)</f>
        <v>240</v>
      </c>
      <c r="D52" s="474">
        <f>IFERROR(SUM(I52:I63)/C52,)</f>
        <v>2781.8881095833335</v>
      </c>
      <c r="E52" s="539" t="s">
        <v>672</v>
      </c>
      <c r="F52" s="540">
        <v>1</v>
      </c>
      <c r="G52" s="473">
        <f>IFERROR(VLOOKUP(E52,$M$4:$O$27,3,0)*F52*$B$52*20,)</f>
        <v>240</v>
      </c>
      <c r="H52" s="481">
        <f t="shared" si="1"/>
        <v>187.6</v>
      </c>
      <c r="I52" s="475">
        <f t="shared" si="17"/>
        <v>45024</v>
      </c>
    </row>
    <row r="53" spans="1:9">
      <c r="A53" s="367"/>
      <c r="B53" s="367"/>
      <c r="C53" s="367"/>
      <c r="D53" s="367"/>
      <c r="E53" s="539"/>
      <c r="F53" s="540"/>
      <c r="G53" s="473">
        <f t="shared" ref="G53:G62" si="18">IFERROR(VLOOKUP(E53,$M$4:$O$27,3,0)*F53*$B$52*20,)</f>
        <v>0</v>
      </c>
      <c r="H53" s="481">
        <f t="shared" si="1"/>
        <v>0</v>
      </c>
      <c r="I53" s="475">
        <f t="shared" si="17"/>
        <v>0</v>
      </c>
    </row>
    <row r="54" spans="1:9">
      <c r="A54" s="367"/>
      <c r="B54" s="367"/>
      <c r="C54" s="367"/>
      <c r="D54" s="367"/>
      <c r="E54" s="539"/>
      <c r="F54" s="540"/>
      <c r="G54" s="473">
        <f t="shared" si="18"/>
        <v>0</v>
      </c>
      <c r="H54" s="481">
        <f t="shared" si="1"/>
        <v>0</v>
      </c>
      <c r="I54" s="475">
        <f t="shared" si="17"/>
        <v>0</v>
      </c>
    </row>
    <row r="55" spans="1:9">
      <c r="A55" s="367"/>
      <c r="B55" s="367"/>
      <c r="C55" s="367"/>
      <c r="D55" s="367"/>
      <c r="E55" s="539"/>
      <c r="F55" s="540"/>
      <c r="G55" s="473">
        <f t="shared" si="18"/>
        <v>0</v>
      </c>
      <c r="H55" s="481">
        <f t="shared" si="1"/>
        <v>0</v>
      </c>
      <c r="I55" s="475">
        <f t="shared" si="17"/>
        <v>0</v>
      </c>
    </row>
    <row r="56" spans="1:9">
      <c r="A56" s="367"/>
      <c r="B56" s="367"/>
      <c r="C56" s="367"/>
      <c r="D56" s="367"/>
      <c r="E56" s="539"/>
      <c r="F56" s="540"/>
      <c r="G56" s="473">
        <f t="shared" si="18"/>
        <v>0</v>
      </c>
      <c r="H56" s="481">
        <f t="shared" si="1"/>
        <v>0</v>
      </c>
      <c r="I56" s="475">
        <f t="shared" si="17"/>
        <v>0</v>
      </c>
    </row>
    <row r="57" spans="1:9">
      <c r="A57" s="367"/>
      <c r="B57" s="367"/>
      <c r="C57" s="367"/>
      <c r="D57" s="367"/>
      <c r="E57" s="539"/>
      <c r="F57" s="540"/>
      <c r="G57" s="473">
        <f t="shared" si="18"/>
        <v>0</v>
      </c>
      <c r="H57" s="481">
        <f t="shared" si="1"/>
        <v>0</v>
      </c>
      <c r="I57" s="475">
        <f t="shared" si="17"/>
        <v>0</v>
      </c>
    </row>
    <row r="58" spans="1:9">
      <c r="E58" s="539"/>
      <c r="F58" s="540"/>
      <c r="G58" s="473">
        <f t="shared" si="18"/>
        <v>0</v>
      </c>
      <c r="H58" s="481">
        <f t="shared" si="1"/>
        <v>0</v>
      </c>
      <c r="I58" s="475">
        <f t="shared" si="17"/>
        <v>0</v>
      </c>
    </row>
    <row r="59" spans="1:9">
      <c r="E59" s="539"/>
      <c r="F59" s="540"/>
      <c r="G59" s="473">
        <f t="shared" si="18"/>
        <v>0</v>
      </c>
      <c r="H59" s="481">
        <f t="shared" si="1"/>
        <v>0</v>
      </c>
      <c r="I59" s="475">
        <f t="shared" si="17"/>
        <v>0</v>
      </c>
    </row>
    <row r="60" spans="1:9">
      <c r="E60" s="539"/>
      <c r="F60" s="540"/>
      <c r="G60" s="473">
        <f t="shared" si="18"/>
        <v>0</v>
      </c>
      <c r="H60" s="481">
        <f t="shared" si="1"/>
        <v>0</v>
      </c>
      <c r="I60" s="475">
        <f t="shared" si="17"/>
        <v>0</v>
      </c>
    </row>
    <row r="61" spans="1:9">
      <c r="E61" s="539"/>
      <c r="F61" s="540"/>
      <c r="G61" s="473">
        <f t="shared" si="18"/>
        <v>0</v>
      </c>
      <c r="H61" s="481">
        <f t="shared" si="1"/>
        <v>0</v>
      </c>
      <c r="I61" s="475">
        <f t="shared" si="17"/>
        <v>0</v>
      </c>
    </row>
    <row r="62" spans="1:9">
      <c r="E62" s="539"/>
      <c r="F62" s="540"/>
      <c r="G62" s="473">
        <f t="shared" si="18"/>
        <v>0</v>
      </c>
      <c r="H62" s="481">
        <f t="shared" si="1"/>
        <v>0</v>
      </c>
      <c r="I62" s="475">
        <f t="shared" si="17"/>
        <v>0</v>
      </c>
    </row>
    <row r="63" spans="1:9">
      <c r="A63" s="370" t="str">
        <f>IF(SUM('Zdroje Financovania'!L3:L21)&gt;0,TEXT("Saldokonto - Pomocný výpočet",),TEXT(" ",))</f>
        <v>Saldokonto - Pomocný výpočet</v>
      </c>
      <c r="B63" s="791"/>
      <c r="C63" s="792"/>
      <c r="D63" s="792"/>
      <c r="E63" s="792"/>
      <c r="F63" s="792"/>
      <c r="G63" s="792"/>
      <c r="H63" s="793"/>
      <c r="I63" s="475">
        <f>IF(SUM('Zdroje Financovania'!L3:L21)&gt;0,I64-(SUM(I40:I62)+SUM(EXTERNE_POZICIE!M41:M64)*1.23),0)</f>
        <v>622629.14630000002</v>
      </c>
    </row>
    <row r="64" spans="1:9">
      <c r="A64" s="370" t="str">
        <f>IF(SUM('Zdroje Financovania'!L3:L21)&gt;0,TEXT("Podporné oblasti projektu",),TEXT(" ",))</f>
        <v>Podporné oblasti projektu</v>
      </c>
      <c r="B64" s="794" t="str">
        <f>IF(SUM('Zdroje Financovania'!L3:L21)&gt;0,TEXT("907 - Paušálna sadzba na nepriame výdavky podľa článku 54 písm. a) NSU",),TEXT(" ",))</f>
        <v>907 - Paušálna sadzba na nepriame výdavky podľa článku 54 písm. a) NSU</v>
      </c>
      <c r="C64" s="795"/>
      <c r="D64" s="795"/>
      <c r="E64" s="795"/>
      <c r="F64" s="795"/>
      <c r="G64" s="795"/>
      <c r="H64" s="652">
        <f>IF(SUM('Zdroje Financovania'!L3:L21)&gt;0,0.07,0)</f>
        <v>7.0000000000000007E-2</v>
      </c>
      <c r="I64" s="652">
        <f>IF(SUM('Zdroje Financovania'!L3:L21)&gt;0,H64*(EXTERNE_POZICIE!M1*1.23+POZICIE_INTERNE!I1+'Rozpočet - HW a licencie'!I1),0)</f>
        <v>780213.14630000002</v>
      </c>
    </row>
  </sheetData>
  <mergeCells count="4">
    <mergeCell ref="E1:F1"/>
    <mergeCell ref="E2:F2"/>
    <mergeCell ref="B63:H63"/>
    <mergeCell ref="B64:G64"/>
  </mergeCells>
  <conditionalFormatting sqref="P4:P27">
    <cfRule type="cellIs" dxfId="4" priority="1" operator="greaterThan">
      <formula>$U4</formula>
    </cfRule>
  </conditionalFormatting>
  <conditionalFormatting sqref="Q2">
    <cfRule type="cellIs" dxfId="3" priority="4" operator="greaterThan">
      <formula>0.2</formula>
    </cfRule>
  </conditionalFormatting>
  <dataValidations count="1">
    <dataValidation type="list" allowBlank="1" showInputMessage="1" showErrorMessage="1" sqref="E4:E62" xr:uid="{00000000-0002-0000-1000-000000000000}">
      <formula1>Pozicia</formula1>
    </dataValidation>
  </dataValidations>
  <pageMargins left="0.7" right="0.7" top="0.75" bottom="0.75" header="0.3" footer="0.3"/>
  <pageSetup paperSize="9" orientation="portrait" horizontalDpi="4294967293"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5">
    <tabColor rgb="FF00B050"/>
  </sheetPr>
  <dimension ref="A1:L65"/>
  <sheetViews>
    <sheetView zoomScaleNormal="100" workbookViewId="0">
      <pane ySplit="2" topLeftCell="A57" activePane="bottomLeft" state="frozen"/>
      <selection activeCell="J3" sqref="J3:J11"/>
      <selection pane="bottomLeft" activeCell="F12" sqref="F12"/>
    </sheetView>
  </sheetViews>
  <sheetFormatPr defaultColWidth="8.7109375" defaultRowHeight="15"/>
  <cols>
    <col min="1" max="1" width="9.42578125" style="365" customWidth="1"/>
    <col min="2" max="2" width="36.28515625" style="365" customWidth="1"/>
    <col min="3" max="3" width="31.28515625" style="365" customWidth="1"/>
    <col min="4" max="4" width="51.42578125" style="365" customWidth="1"/>
    <col min="5" max="5" width="14.140625" style="365" bestFit="1" customWidth="1"/>
    <col min="6" max="6" width="14.140625" style="365" customWidth="1"/>
    <col min="7" max="7" width="13.7109375" style="365" customWidth="1"/>
    <col min="8" max="8" width="14.7109375" style="365" customWidth="1"/>
    <col min="9" max="9" width="14.85546875" style="372" customWidth="1"/>
    <col min="10" max="11" width="14.85546875" style="365" customWidth="1"/>
    <col min="12" max="12" width="52.140625" style="365" customWidth="1"/>
    <col min="13" max="16384" width="8.7109375" style="365"/>
  </cols>
  <sheetData>
    <row r="1" spans="1:12">
      <c r="A1" s="796" t="s">
        <v>118</v>
      </c>
      <c r="B1" s="797"/>
      <c r="C1" s="797"/>
      <c r="D1" s="798"/>
      <c r="E1" s="476">
        <f>SUM(E3:E22)</f>
        <v>4778.2798114016296</v>
      </c>
      <c r="F1" s="476">
        <f>SUM(F3:F22)</f>
        <v>500.48349764252032</v>
      </c>
      <c r="G1" s="482"/>
      <c r="H1" s="476"/>
      <c r="I1" s="477">
        <f>SUM(I3:I62)</f>
        <v>372136.8000000001</v>
      </c>
      <c r="J1" s="477">
        <f>SUM(J3:J62)</f>
        <v>6373765.29</v>
      </c>
      <c r="K1" s="477">
        <f>SUM(K3:K62)</f>
        <v>6745902.0899999999</v>
      </c>
      <c r="L1" s="478"/>
    </row>
    <row r="2" spans="1:12" ht="51" customHeight="1">
      <c r="A2" s="479" t="s">
        <v>419</v>
      </c>
      <c r="B2" s="479" t="s">
        <v>261</v>
      </c>
      <c r="C2" s="479" t="s">
        <v>780</v>
      </c>
      <c r="D2" s="479" t="s">
        <v>251</v>
      </c>
      <c r="E2" s="480" t="s">
        <v>441</v>
      </c>
      <c r="F2" s="480" t="s">
        <v>437</v>
      </c>
      <c r="G2" s="480" t="s">
        <v>436</v>
      </c>
      <c r="H2" s="480" t="s">
        <v>435</v>
      </c>
      <c r="I2" s="480" t="s">
        <v>438</v>
      </c>
      <c r="J2" s="480" t="s">
        <v>439</v>
      </c>
      <c r="K2" s="480" t="s">
        <v>35</v>
      </c>
      <c r="L2" s="480" t="s">
        <v>412</v>
      </c>
    </row>
    <row r="3" spans="1:12" ht="60" customHeight="1">
      <c r="A3" s="801" t="s">
        <v>272</v>
      </c>
      <c r="B3" s="546" t="s">
        <v>898</v>
      </c>
      <c r="C3" s="426" t="s">
        <v>263</v>
      </c>
      <c r="D3" s="546"/>
      <c r="E3" s="629">
        <f>IFERROR(VLOOKUP(B3,MODULY_CBA!$B$3:$O$23,14,0)*VLOOKUP('Rozpocet - Vyvoj aplikacii'!C3,EXTERNE_POZICIE!$A$4:$C$39,3,0),0)</f>
        <v>456.36733819117023</v>
      </c>
      <c r="F3" s="489">
        <f>IFERROR(VLOOKUP(C3,POZICIE_INTERNE!$A$4:$D$39,3,0)*VLOOKUP(B3,MODULY_CBA!$B$3:$J$23,9,0)/SUM(MODULY_CBA!$J$3:$J$23),)</f>
        <v>35.983711958851266</v>
      </c>
      <c r="G3" s="495">
        <f>IFERROR(IF(ISTEXT(B3),VLOOKUP(C3,POZICIE_INTERNE!$A$4:$D$39,4,0),),)</f>
        <v>312.72000000000003</v>
      </c>
      <c r="H3" s="496">
        <f>IF(ISTEXT(B3),VLOOKUP(C3,EXTERNE_POZICIE!$A$4:$E$39,5,0),)</f>
        <v>465.27905382242028</v>
      </c>
      <c r="I3" s="490">
        <f>G3*F3</f>
        <v>11252.826403771969</v>
      </c>
      <c r="J3" s="490">
        <f>E3*H3*1.23</f>
        <v>261175.94087012432</v>
      </c>
      <c r="K3" s="490">
        <f>J3+I3</f>
        <v>272428.76727389632</v>
      </c>
      <c r="L3" s="658" t="s">
        <v>1325</v>
      </c>
    </row>
    <row r="4" spans="1:12" ht="60" customHeight="1">
      <c r="A4" s="799"/>
      <c r="B4" s="546" t="s">
        <v>898</v>
      </c>
      <c r="C4" s="426" t="s">
        <v>540</v>
      </c>
      <c r="D4" s="546"/>
      <c r="E4" s="629">
        <f>IFERROR(VLOOKUP(B4,MODULY_CBA!$B$3:$O$23,14,0)*VLOOKUP('Rozpocet - Vyvoj aplikacii'!C4,EXTERNE_POZICIE!$A$4:$C$39,3,0),0)</f>
        <v>1095.1564509215602</v>
      </c>
      <c r="F4" s="489">
        <f>IFERROR(VLOOKUP(C4,POZICIE_INTERNE!$A$4:$D$39,3,0)*VLOOKUP(B4,MODULY_CBA!$B$3:$J$23,9,0)/SUM(MODULY_CBA!$J$3:$J$23),)</f>
        <v>150.19288469781398</v>
      </c>
      <c r="G4" s="495">
        <f>IFERROR(IF(ISTEXT(B4),VLOOKUP(C4,POZICIE_INTERNE!$A$4:$D$39,4,0),),)</f>
        <v>312.72000000000003</v>
      </c>
      <c r="H4" s="496">
        <f>IF(ISTEXT(B4),VLOOKUP(C4,EXTERNE_POZICIE!$A$4:$E$39,5,0),)</f>
        <v>437.48</v>
      </c>
      <c r="I4" s="490">
        <f t="shared" ref="I4:I65" si="0">G4*F4</f>
        <v>46968.31890270039</v>
      </c>
      <c r="J4" s="490">
        <f t="shared" ref="J4:J65" si="1">E4*H4*1.23</f>
        <v>589304.12430347188</v>
      </c>
      <c r="K4" s="490">
        <f t="shared" ref="K4:K22" si="2">J4+I4</f>
        <v>636272.44320617232</v>
      </c>
      <c r="L4" s="658" t="s">
        <v>1325</v>
      </c>
    </row>
    <row r="5" spans="1:12" ht="60" customHeight="1">
      <c r="A5" s="799"/>
      <c r="B5" s="546" t="s">
        <v>898</v>
      </c>
      <c r="C5" s="426" t="s">
        <v>264</v>
      </c>
      <c r="D5" s="546"/>
      <c r="E5" s="629">
        <f>IFERROR(VLOOKUP(B5,MODULY_CBA!$B$3:$O$23,14,0)*VLOOKUP('Rozpocet - Vyvoj aplikacii'!C5,EXTERNE_POZICIE!$A$4:$C$39,3,0),0)</f>
        <v>273.31975996570941</v>
      </c>
      <c r="F5" s="489">
        <f>IFERROR(VLOOKUP(C5,POZICIE_INTERNE!$A$4:$D$39,3,0)*VLOOKUP(B5,MODULY_CBA!$B$3:$J$23,9,0)/SUM(MODULY_CBA!$J$3:$J$23),)</f>
        <v>0</v>
      </c>
      <c r="G5" s="495">
        <f>IFERROR(IF(ISTEXT(B5),VLOOKUP(C5,POZICIE_INTERNE!$A$4:$D$39,4,0),),)</f>
        <v>0</v>
      </c>
      <c r="H5" s="496">
        <f>IF(ISTEXT(B5),VLOOKUP(C5,EXTERNE_POZICIE!$A$4:$E$39,5,0),)</f>
        <v>436.37321121923299</v>
      </c>
      <c r="I5" s="490">
        <f t="shared" si="0"/>
        <v>0</v>
      </c>
      <c r="J5" s="490">
        <f t="shared" si="1"/>
        <v>146701.38825546508</v>
      </c>
      <c r="K5" s="490">
        <f t="shared" si="2"/>
        <v>146701.38825546508</v>
      </c>
      <c r="L5" s="658" t="s">
        <v>1325</v>
      </c>
    </row>
    <row r="6" spans="1:12" ht="60" customHeight="1">
      <c r="A6" s="799" t="s">
        <v>273</v>
      </c>
      <c r="B6" s="546" t="s">
        <v>943</v>
      </c>
      <c r="C6" s="426" t="s">
        <v>263</v>
      </c>
      <c r="D6" s="546"/>
      <c r="E6" s="629">
        <f>IFERROR(VLOOKUP(B6,MODULY_CBA!$B$3:$O$23,14,0)*VLOOKUP('Rozpocet - Vyvoj aplikacii'!C6,EXTERNE_POZICIE!$A$4:$C$39,3,0),0)</f>
        <v>98.775396485212184</v>
      </c>
      <c r="F6" s="489">
        <f>IFERROR(VLOOKUP(C6,POZICIE_INTERNE!$A$4:$D$39,3,0)*VLOOKUP(B6,MODULY_CBA!$B$3:$J$23,9,0)/SUM(MODULY_CBA!$J$3:$J$23),)</f>
        <v>7.7882554650664382</v>
      </c>
      <c r="G6" s="495">
        <f>IFERROR(IF(ISTEXT(B6),VLOOKUP(C6,POZICIE_INTERNE!$A$4:$D$39,4,0),),)</f>
        <v>312.72000000000003</v>
      </c>
      <c r="H6" s="496">
        <f>IF(ISTEXT(B6),VLOOKUP(C6,EXTERNE_POZICIE!$A$4:$E$39,5,0),)</f>
        <v>465.27905382242028</v>
      </c>
      <c r="I6" s="490">
        <f t="shared" si="0"/>
        <v>2435.5432490355765</v>
      </c>
      <c r="J6" s="490">
        <f t="shared" si="1"/>
        <v>56528.491311615944</v>
      </c>
      <c r="K6" s="490">
        <f t="shared" si="2"/>
        <v>58964.034560651518</v>
      </c>
      <c r="L6" s="658" t="s">
        <v>1325</v>
      </c>
    </row>
    <row r="7" spans="1:12" ht="60" customHeight="1">
      <c r="A7" s="799"/>
      <c r="B7" s="546" t="s">
        <v>943</v>
      </c>
      <c r="C7" s="426" t="s">
        <v>540</v>
      </c>
      <c r="D7" s="546"/>
      <c r="E7" s="629">
        <f>IFERROR(VLOOKUP(B7,MODULY_CBA!$B$3:$O$23,14,0)*VLOOKUP('Rozpocet - Vyvoj aplikacii'!C7,EXTERNE_POZICIE!$A$4:$C$39,3,0),0)</f>
        <v>237.03386198028289</v>
      </c>
      <c r="F7" s="489">
        <f>IFERROR(VLOOKUP(C7,POZICIE_INTERNE!$A$4:$D$39,3,0)*VLOOKUP(B7,MODULY_CBA!$B$3:$J$23,9,0)/SUM(MODULY_CBA!$J$3:$J$23),)</f>
        <v>32.507501071581657</v>
      </c>
      <c r="G7" s="495">
        <f>IFERROR(IF(ISTEXT(B7),VLOOKUP(C7,POZICIE_INTERNE!$A$4:$D$39,4,0),),)</f>
        <v>312.72000000000003</v>
      </c>
      <c r="H7" s="496">
        <f>IF(ISTEXT(B7),VLOOKUP(C7,EXTERNE_POZICIE!$A$4:$E$39,5,0),)</f>
        <v>437.48</v>
      </c>
      <c r="I7" s="490">
        <f t="shared" si="0"/>
        <v>10165.745735105016</v>
      </c>
      <c r="J7" s="490">
        <f t="shared" si="1"/>
        <v>127548.01594513502</v>
      </c>
      <c r="K7" s="490">
        <f t="shared" si="2"/>
        <v>137713.76168024004</v>
      </c>
      <c r="L7" s="658" t="s">
        <v>1325</v>
      </c>
    </row>
    <row r="8" spans="1:12" ht="60" customHeight="1">
      <c r="A8" s="799"/>
      <c r="B8" s="546" t="s">
        <v>943</v>
      </c>
      <c r="C8" s="426" t="s">
        <v>264</v>
      </c>
      <c r="D8" s="546"/>
      <c r="E8" s="629">
        <f>IFERROR(VLOOKUP(B8,MODULY_CBA!$B$3:$O$23,14,0)*VLOOKUP('Rozpocet - Vyvoj aplikacii'!C8,EXTERNE_POZICIE!$A$4:$C$39,3,0),0)</f>
        <v>59.15687955422203</v>
      </c>
      <c r="F8" s="489">
        <f>IFERROR(VLOOKUP(C8,POZICIE_INTERNE!$A$4:$D$39,3,0)*VLOOKUP(B8,MODULY_CBA!$B$3:$J$23,9,0)/SUM(MODULY_CBA!$J$3:$J$23),)</f>
        <v>0</v>
      </c>
      <c r="G8" s="495">
        <f>IFERROR(IF(ISTEXT(B8),VLOOKUP(C8,POZICIE_INTERNE!$A$4:$D$39,4,0),),)</f>
        <v>0</v>
      </c>
      <c r="H8" s="496">
        <f>IF(ISTEXT(B8),VLOOKUP(C8,EXTERNE_POZICIE!$A$4:$E$39,5,0),)</f>
        <v>436.37321121923299</v>
      </c>
      <c r="I8" s="490">
        <f t="shared" si="0"/>
        <v>0</v>
      </c>
      <c r="J8" s="490">
        <f t="shared" si="1"/>
        <v>31751.807321045861</v>
      </c>
      <c r="K8" s="490">
        <f t="shared" si="2"/>
        <v>31751.807321045861</v>
      </c>
      <c r="L8" s="658" t="s">
        <v>1325</v>
      </c>
    </row>
    <row r="9" spans="1:12" ht="60" customHeight="1">
      <c r="A9" s="799" t="s">
        <v>274</v>
      </c>
      <c r="B9" s="546" t="s">
        <v>960</v>
      </c>
      <c r="C9" s="426" t="s">
        <v>263</v>
      </c>
      <c r="D9" s="546"/>
      <c r="E9" s="629">
        <f>IFERROR(VLOOKUP(B9,MODULY_CBA!$B$3:$O$23,14,0)*VLOOKUP('Rozpocet - Vyvoj aplikacii'!C9,EXTERNE_POZICIE!$A$4:$C$39,3,0),0)</f>
        <v>135.78491213030432</v>
      </c>
      <c r="F9" s="489">
        <f>IFERROR(VLOOKUP(C9,POZICIE_INTERNE!$A$4:$D$39,3,0)*VLOOKUP(B9,MODULY_CBA!$B$3:$J$23,9,0)/SUM(MODULY_CBA!$J$3:$J$23),)</f>
        <v>10.706386626660951</v>
      </c>
      <c r="G9" s="495">
        <f>IFERROR(IF(ISTEXT(B9),VLOOKUP(C9,POZICIE_INTERNE!$A$4:$D$39,4,0),),)</f>
        <v>312.72000000000003</v>
      </c>
      <c r="H9" s="496">
        <f>IF(ISTEXT(B9),VLOOKUP(C9,EXTERNE_POZICIE!$A$4:$E$39,5,0),)</f>
        <v>465.27905382242028</v>
      </c>
      <c r="I9" s="490">
        <f t="shared" si="0"/>
        <v>3348.1012258894129</v>
      </c>
      <c r="J9" s="490">
        <f t="shared" si="1"/>
        <v>77708.786790398619</v>
      </c>
      <c r="K9" s="490">
        <f t="shared" si="2"/>
        <v>81056.888016288038</v>
      </c>
      <c r="L9" s="658" t="s">
        <v>1325</v>
      </c>
    </row>
    <row r="10" spans="1:12" ht="60" customHeight="1">
      <c r="A10" s="799"/>
      <c r="B10" s="546" t="s">
        <v>960</v>
      </c>
      <c r="C10" s="426" t="s">
        <v>540</v>
      </c>
      <c r="D10" s="546"/>
      <c r="E10" s="629">
        <f>IFERROR(VLOOKUP(B10,MODULY_CBA!$B$3:$O$23,14,0)*VLOOKUP('Rozpocet - Vyvoj aplikacii'!C10,EXTERNE_POZICIE!$A$4:$C$39,3,0),0)</f>
        <v>325.84654950707238</v>
      </c>
      <c r="F10" s="489">
        <f>IFERROR(VLOOKUP(C10,POZICIE_INTERNE!$A$4:$D$39,3,0)*VLOOKUP(B10,MODULY_CBA!$B$3:$J$23,9,0)/SUM(MODULY_CBA!$J$3:$J$23),)</f>
        <v>44.687526789541366</v>
      </c>
      <c r="G10" s="495">
        <f>IFERROR(IF(ISTEXT(B10),VLOOKUP(C10,POZICIE_INTERNE!$A$4:$D$39,4,0),),)</f>
        <v>312.72000000000003</v>
      </c>
      <c r="H10" s="496">
        <f>IF(ISTEXT(B10),VLOOKUP(C10,EXTERNE_POZICIE!$A$4:$E$39,5,0),)</f>
        <v>437.48</v>
      </c>
      <c r="I10" s="490">
        <f t="shared" si="0"/>
        <v>13974.683377625377</v>
      </c>
      <c r="J10" s="490">
        <f t="shared" si="1"/>
        <v>175338.15862837544</v>
      </c>
      <c r="K10" s="490">
        <f t="shared" si="2"/>
        <v>189312.84200600081</v>
      </c>
      <c r="L10" s="658" t="s">
        <v>1325</v>
      </c>
    </row>
    <row r="11" spans="1:12" ht="60" customHeight="1">
      <c r="A11" s="799"/>
      <c r="B11" s="546" t="s">
        <v>960</v>
      </c>
      <c r="C11" s="426" t="s">
        <v>264</v>
      </c>
      <c r="D11" s="546"/>
      <c r="E11" s="629">
        <f>IFERROR(VLOOKUP(B11,MODULY_CBA!$B$3:$O$23,14,0)*VLOOKUP('Rozpocet - Vyvoj aplikacii'!C11,EXTERNE_POZICIE!$A$4:$C$39,3,0),0)</f>
        <v>81.321988855550785</v>
      </c>
      <c r="F11" s="489">
        <f>IFERROR(VLOOKUP(C11,POZICIE_INTERNE!$A$4:$D$39,3,0)*VLOOKUP(B11,MODULY_CBA!$B$3:$J$23,9,0)/SUM(MODULY_CBA!$J$3:$J$23),)</f>
        <v>0</v>
      </c>
      <c r="G11" s="495">
        <f>IFERROR(IF(ISTEXT(B11),VLOOKUP(C11,POZICIE_INTERNE!$A$4:$D$39,4,0),),)</f>
        <v>0</v>
      </c>
      <c r="H11" s="496">
        <f>IF(ISTEXT(B11),VLOOKUP(C11,EXTERNE_POZICIE!$A$4:$E$39,5,0),)</f>
        <v>436.37321121923299</v>
      </c>
      <c r="I11" s="490">
        <f t="shared" si="0"/>
        <v>0</v>
      </c>
      <c r="J11" s="490">
        <f t="shared" si="1"/>
        <v>43648.687026146588</v>
      </c>
      <c r="K11" s="490">
        <f t="shared" si="2"/>
        <v>43648.687026146588</v>
      </c>
      <c r="L11" s="658" t="s">
        <v>1325</v>
      </c>
    </row>
    <row r="12" spans="1:12" ht="60" customHeight="1">
      <c r="A12" s="799" t="s">
        <v>275</v>
      </c>
      <c r="B12" s="546" t="s">
        <v>1054</v>
      </c>
      <c r="C12" s="426" t="s">
        <v>263</v>
      </c>
      <c r="D12" s="546"/>
      <c r="E12" s="629">
        <f>IFERROR(VLOOKUP(B12,MODULY_CBA!$B$3:$O$23,14,0)*VLOOKUP('Rozpocet - Vyvoj aplikacii'!C12,EXTERNE_POZICIE!$A$4:$C$39,3,0),0)</f>
        <v>175.54513501928849</v>
      </c>
      <c r="F12" s="489">
        <f>IFERROR(VLOOKUP(C12,POZICIE_INTERNE!$A$4:$D$39,3,0)*VLOOKUP(B12,MODULY_CBA!$B$3:$J$23,9,0)/SUM(MODULY_CBA!$J$3:$J$23),)</f>
        <v>13.841405915130734</v>
      </c>
      <c r="G12" s="495">
        <f>IFERROR(IF(ISTEXT(B12),VLOOKUP(C12,POZICIE_INTERNE!$A$4:$D$39,4,0),),)</f>
        <v>312.72000000000003</v>
      </c>
      <c r="H12" s="496">
        <f>IF(ISTEXT(B12),VLOOKUP(C12,EXTERNE_POZICIE!$A$4:$E$39,5,0),)</f>
        <v>465.27905382242028</v>
      </c>
      <c r="I12" s="490">
        <f t="shared" si="0"/>
        <v>4328.4844577796839</v>
      </c>
      <c r="J12" s="490">
        <f t="shared" si="1"/>
        <v>100463.29341963139</v>
      </c>
      <c r="K12" s="490">
        <f t="shared" si="2"/>
        <v>104791.77787741108</v>
      </c>
      <c r="L12" s="658" t="s">
        <v>1325</v>
      </c>
    </row>
    <row r="13" spans="1:12" ht="60" customHeight="1">
      <c r="A13" s="799"/>
      <c r="B13" s="546" t="s">
        <v>1054</v>
      </c>
      <c r="C13" s="426" t="s">
        <v>540</v>
      </c>
      <c r="D13" s="546"/>
      <c r="E13" s="629">
        <f>IFERROR(VLOOKUP(B13,MODULY_CBA!$B$3:$O$23,14,0)*VLOOKUP('Rozpocet - Vyvoj aplikacii'!C13,EXTERNE_POZICIE!$A$4:$C$39,3,0),0)</f>
        <v>421.26018002571794</v>
      </c>
      <c r="F13" s="489">
        <f>IFERROR(VLOOKUP(C13,POZICIE_INTERNE!$A$4:$D$39,3,0)*VLOOKUP(B13,MODULY_CBA!$B$3:$J$23,9,0)/SUM(MODULY_CBA!$J$3:$J$23),)</f>
        <v>57.772824689241318</v>
      </c>
      <c r="G13" s="495">
        <f>IFERROR(IF(ISTEXT(B13),VLOOKUP(C13,POZICIE_INTERNE!$A$4:$D$39,4,0),),)</f>
        <v>312.72000000000003</v>
      </c>
      <c r="H13" s="496">
        <f>IF(ISTEXT(B13),VLOOKUP(C13,EXTERNE_POZICIE!$A$4:$E$39,5,0),)</f>
        <v>437.48</v>
      </c>
      <c r="I13" s="490">
        <f t="shared" si="0"/>
        <v>18066.717736819548</v>
      </c>
      <c r="J13" s="490">
        <f t="shared" si="1"/>
        <v>226680.27137591084</v>
      </c>
      <c r="K13" s="490">
        <f t="shared" si="2"/>
        <v>244746.9891127304</v>
      </c>
      <c r="L13" s="658" t="s">
        <v>1325</v>
      </c>
    </row>
    <row r="14" spans="1:12" ht="60" customHeight="1">
      <c r="A14" s="800"/>
      <c r="B14" s="546" t="s">
        <v>1054</v>
      </c>
      <c r="C14" s="426" t="s">
        <v>264</v>
      </c>
      <c r="D14" s="546"/>
      <c r="E14" s="629">
        <f>IFERROR(VLOOKUP(B14,MODULY_CBA!$B$3:$O$23,14,0)*VLOOKUP('Rozpocet - Vyvoj aplikacii'!C14,EXTERNE_POZICIE!$A$4:$C$39,3,0),0)</f>
        <v>105.13450492927561</v>
      </c>
      <c r="F14" s="489">
        <f>IFERROR(VLOOKUP(C14,POZICIE_INTERNE!$A$4:$D$39,3,0)*VLOOKUP(B14,MODULY_CBA!$B$3:$J$23,9,0)/SUM(MODULY_CBA!$J$3:$J$23),)</f>
        <v>0</v>
      </c>
      <c r="G14" s="495">
        <f>IFERROR(IF(ISTEXT(B14),VLOOKUP(C14,POZICIE_INTERNE!$A$4:$D$39,4,0),),)</f>
        <v>0</v>
      </c>
      <c r="H14" s="496">
        <f>IF(ISTEXT(B14),VLOOKUP(C14,EXTERNE_POZICIE!$A$4:$E$39,5,0),)</f>
        <v>436.37321121923299</v>
      </c>
      <c r="I14" s="490">
        <f t="shared" si="0"/>
        <v>0</v>
      </c>
      <c r="J14" s="490">
        <f t="shared" si="1"/>
        <v>56429.794276896697</v>
      </c>
      <c r="K14" s="490">
        <f t="shared" si="2"/>
        <v>56429.794276896697</v>
      </c>
      <c r="L14" s="658" t="s">
        <v>1325</v>
      </c>
    </row>
    <row r="15" spans="1:12" ht="60" customHeight="1">
      <c r="A15" s="801" t="s">
        <v>276</v>
      </c>
      <c r="B15" s="546" t="s">
        <v>1307</v>
      </c>
      <c r="C15" s="426" t="s">
        <v>263</v>
      </c>
      <c r="D15" s="546"/>
      <c r="E15" s="629">
        <f>IFERROR(VLOOKUP(B15,MODULY_CBA!$B$3:$O$23,14,0)*VLOOKUP('Rozpocet - Vyvoj aplikacii'!C15,EXTERNE_POZICIE!$A$4:$C$39,3,0),0)</f>
        <v>46.261894556365199</v>
      </c>
      <c r="F15" s="489">
        <f>IFERROR(VLOOKUP(C15,POZICIE_INTERNE!$A$4:$D$39,3,0)*VLOOKUP(B15,MODULY_CBA!$B$3:$J$23,9,0)/SUM(MODULY_CBA!$J$3:$J$23),)</f>
        <v>3.6476639519931418</v>
      </c>
      <c r="G15" s="495">
        <f>IFERROR(IF(ISTEXT(B15),VLOOKUP(C15,POZICIE_INTERNE!$A$4:$D$39,4,0),),)</f>
        <v>312.72000000000003</v>
      </c>
      <c r="H15" s="496">
        <f>IF(ISTEXT(B15),VLOOKUP(C15,EXTERNE_POZICIE!$A$4:$E$39,5,0),)</f>
        <v>465.27905382242028</v>
      </c>
      <c r="I15" s="490">
        <f t="shared" si="0"/>
        <v>1140.6974710672953</v>
      </c>
      <c r="J15" s="490">
        <f t="shared" si="1"/>
        <v>26475.369348478354</v>
      </c>
      <c r="K15" s="490">
        <f t="shared" si="2"/>
        <v>27616.066819545649</v>
      </c>
      <c r="L15" s="658" t="s">
        <v>1325</v>
      </c>
    </row>
    <row r="16" spans="1:12" ht="60" customHeight="1">
      <c r="A16" s="799"/>
      <c r="B16" s="546" t="s">
        <v>1307</v>
      </c>
      <c r="C16" s="426" t="s">
        <v>540</v>
      </c>
      <c r="D16" s="546"/>
      <c r="E16" s="629">
        <f>IFERROR(VLOOKUP(B16,MODULY_CBA!$B$3:$O$23,14,0)*VLOOKUP('Rozpocet - Vyvoj aplikacii'!C16,EXTERNE_POZICIE!$A$4:$C$39,3,0),0)</f>
        <v>111.01585940848692</v>
      </c>
      <c r="F16" s="489">
        <f>IFERROR(VLOOKUP(C16,POZICIE_INTERNE!$A$4:$D$39,3,0)*VLOOKUP(B16,MODULY_CBA!$B$3:$J$23,9,0)/SUM(MODULY_CBA!$J$3:$J$23),)</f>
        <v>15.225032147449635</v>
      </c>
      <c r="G16" s="495">
        <f>IFERROR(IF(ISTEXT(B16),VLOOKUP(C16,POZICIE_INTERNE!$A$4:$D$39,4,0),),)</f>
        <v>312.72000000000003</v>
      </c>
      <c r="H16" s="496">
        <f>IF(ISTEXT(B16),VLOOKUP(C16,EXTERNE_POZICIE!$A$4:$E$39,5,0),)</f>
        <v>437.48</v>
      </c>
      <c r="I16" s="490">
        <f t="shared" si="0"/>
        <v>4761.1720531504507</v>
      </c>
      <c r="J16" s="490">
        <f t="shared" si="1"/>
        <v>59737.678354050571</v>
      </c>
      <c r="K16" s="490">
        <f t="shared" si="2"/>
        <v>64498.850407201026</v>
      </c>
      <c r="L16" s="658" t="s">
        <v>1325</v>
      </c>
    </row>
    <row r="17" spans="1:12" ht="60" customHeight="1">
      <c r="A17" s="799"/>
      <c r="B17" s="546" t="s">
        <v>1307</v>
      </c>
      <c r="C17" s="426" t="s">
        <v>264</v>
      </c>
      <c r="D17" s="546"/>
      <c r="E17" s="629">
        <f>IFERROR(VLOOKUP(B17,MODULY_CBA!$B$3:$O$23,14,0)*VLOOKUP('Rozpocet - Vyvoj aplikacii'!C17,EXTERNE_POZICIE!$A$4:$C$39,3,0),0)</f>
        <v>27.706386626660951</v>
      </c>
      <c r="F17" s="489">
        <f>IFERROR(VLOOKUP(C17,POZICIE_INTERNE!$A$4:$D$39,3,0)*VLOOKUP(B17,MODULY_CBA!$B$3:$J$23,9,0)/SUM(MODULY_CBA!$J$3:$J$23),)</f>
        <v>0</v>
      </c>
      <c r="G17" s="495">
        <f>IFERROR(IF(ISTEXT(B17),VLOOKUP(C17,POZICIE_INTERNE!$A$4:$D$39,4,0),),)</f>
        <v>0</v>
      </c>
      <c r="H17" s="496">
        <f>IF(ISTEXT(B17),VLOOKUP(C17,EXTERNE_POZICIE!$A$4:$E$39,5,0),)</f>
        <v>436.37321121923299</v>
      </c>
      <c r="I17" s="490">
        <f t="shared" si="0"/>
        <v>0</v>
      </c>
      <c r="J17" s="490">
        <f t="shared" si="1"/>
        <v>14871.099631375911</v>
      </c>
      <c r="K17" s="490">
        <f t="shared" si="2"/>
        <v>14871.099631375911</v>
      </c>
      <c r="L17" s="658" t="s">
        <v>1325</v>
      </c>
    </row>
    <row r="18" spans="1:12" ht="60" customHeight="1">
      <c r="A18" s="799" t="s">
        <v>277</v>
      </c>
      <c r="B18" s="546" t="s">
        <v>1308</v>
      </c>
      <c r="C18" s="426" t="s">
        <v>263</v>
      </c>
      <c r="D18" s="546"/>
      <c r="E18" s="629">
        <f>IFERROR(VLOOKUP(B18,MODULY_CBA!$B$3:$O$23,14,0)*VLOOKUP('Rozpocet - Vyvoj aplikacii'!C18,EXTERNE_POZICIE!$A$4:$C$39,3,0),0)</f>
        <v>101.52610372910416</v>
      </c>
      <c r="F18" s="489">
        <f>IFERROR(VLOOKUP(C18,POZICIE_INTERNE!$A$4:$D$39,3,0)*VLOOKUP(B18,MODULY_CBA!$B$3:$J$23,9,0)/SUM(MODULY_CBA!$J$3:$J$23),)</f>
        <v>8.0051435919417067</v>
      </c>
      <c r="G18" s="495">
        <f>IFERROR(IF(ISTEXT(B18),VLOOKUP(C18,POZICIE_INTERNE!$A$4:$D$39,4,0),),)</f>
        <v>312.72000000000003</v>
      </c>
      <c r="H18" s="496">
        <f>IF(ISTEXT(B18),VLOOKUP(C18,EXTERNE_POZICIE!$A$4:$E$39,5,0),)</f>
        <v>465.27905382242028</v>
      </c>
      <c r="I18" s="490">
        <f t="shared" si="0"/>
        <v>2503.3685040720106</v>
      </c>
      <c r="J18" s="490">
        <f t="shared" si="1"/>
        <v>58102.702462066009</v>
      </c>
      <c r="K18" s="490">
        <f t="shared" si="2"/>
        <v>60606.070966138017</v>
      </c>
      <c r="L18" s="658" t="s">
        <v>1325</v>
      </c>
    </row>
    <row r="19" spans="1:12" ht="60" customHeight="1">
      <c r="A19" s="799"/>
      <c r="B19" s="546" t="s">
        <v>1308</v>
      </c>
      <c r="C19" s="426" t="s">
        <v>540</v>
      </c>
      <c r="D19" s="546"/>
      <c r="E19" s="629">
        <f>IFERROR(VLOOKUP(B19,MODULY_CBA!$B$3:$O$23,14,0)*VLOOKUP('Rozpocet - Vyvoj aplikacii'!C19,EXTERNE_POZICIE!$A$4:$C$39,3,0),0)</f>
        <v>243.63480497213885</v>
      </c>
      <c r="F19" s="489">
        <f>IFERROR(VLOOKUP(C19,POZICIE_INTERNE!$A$4:$D$39,3,0)*VLOOKUP(B19,MODULY_CBA!$B$3:$J$23,9,0)/SUM(MODULY_CBA!$J$3:$J$23),)</f>
        <v>33.412773253321902</v>
      </c>
      <c r="G19" s="495">
        <f>IFERROR(IF(ISTEXT(B19),VLOOKUP(C19,POZICIE_INTERNE!$A$4:$D$39,4,0),),)</f>
        <v>312.72000000000003</v>
      </c>
      <c r="H19" s="496">
        <f>IF(ISTEXT(B19),VLOOKUP(C19,EXTERNE_POZICIE!$A$4:$E$39,5,0),)</f>
        <v>437.48</v>
      </c>
      <c r="I19" s="490">
        <f t="shared" si="0"/>
        <v>10448.842451778826</v>
      </c>
      <c r="J19" s="490">
        <f t="shared" si="1"/>
        <v>131099.98600942991</v>
      </c>
      <c r="K19" s="490">
        <f t="shared" si="2"/>
        <v>141548.82846120873</v>
      </c>
      <c r="L19" s="658" t="s">
        <v>1325</v>
      </c>
    </row>
    <row r="20" spans="1:12" ht="60" customHeight="1">
      <c r="A20" s="799"/>
      <c r="B20" s="546" t="s">
        <v>1308</v>
      </c>
      <c r="C20" s="426" t="s">
        <v>264</v>
      </c>
      <c r="D20" s="546"/>
      <c r="E20" s="629">
        <f>IFERROR(VLOOKUP(B20,MODULY_CBA!$B$3:$O$23,14,0)*VLOOKUP('Rozpocet - Vyvoj aplikacii'!C20,EXTERNE_POZICIE!$A$4:$C$39,3,0),0)</f>
        <v>60.804286326618083</v>
      </c>
      <c r="F20" s="489">
        <f>IFERROR(VLOOKUP(C20,POZICIE_INTERNE!$A$4:$D$39,3,0)*VLOOKUP(B20,MODULY_CBA!$B$3:$J$23,9,0)/SUM(MODULY_CBA!$J$3:$J$23),)</f>
        <v>0</v>
      </c>
      <c r="G20" s="495">
        <f>IFERROR(IF(ISTEXT(B20),VLOOKUP(C20,POZICIE_INTERNE!$A$4:$D$39,4,0),),)</f>
        <v>0</v>
      </c>
      <c r="H20" s="496">
        <f>IF(ISTEXT(B20),VLOOKUP(C20,EXTERNE_POZICIE!$A$4:$E$39,5,0),)</f>
        <v>436.37321121923299</v>
      </c>
      <c r="I20" s="490">
        <f t="shared" si="0"/>
        <v>0</v>
      </c>
      <c r="J20" s="490">
        <f t="shared" si="1"/>
        <v>32636.034866695238</v>
      </c>
      <c r="K20" s="490">
        <f t="shared" si="2"/>
        <v>32636.034866695238</v>
      </c>
      <c r="L20" s="658" t="s">
        <v>1325</v>
      </c>
    </row>
    <row r="21" spans="1:12" ht="60" customHeight="1">
      <c r="A21" s="799" t="s">
        <v>278</v>
      </c>
      <c r="B21" s="546" t="s">
        <v>1309</v>
      </c>
      <c r="C21" s="426" t="s">
        <v>263</v>
      </c>
      <c r="D21" s="546"/>
      <c r="E21" s="629">
        <f>IFERROR(VLOOKUP(B21,MODULY_CBA!$B$3:$O$23,14,0)*VLOOKUP('Rozpocet - Vyvoj aplikacii'!C21,EXTERNE_POZICIE!$A$4:$C$39,3,0),0)</f>
        <v>212.55465066438063</v>
      </c>
      <c r="F21" s="489">
        <f>IFERROR(VLOOKUP(C21,POZICIE_INTERNE!$A$4:$D$39,3,0)*VLOOKUP(B21,MODULY_CBA!$B$3:$J$23,9,0)/SUM(MODULY_CBA!$J$3:$J$23),)</f>
        <v>16.759537076725245</v>
      </c>
      <c r="G21" s="495">
        <f>IFERROR(IF(ISTEXT(B21),VLOOKUP(C21,POZICIE_INTERNE!$A$4:$D$39,4,0),),)</f>
        <v>312.72000000000003</v>
      </c>
      <c r="H21" s="496">
        <f>IF(ISTEXT(B21),VLOOKUP(C21,EXTERNE_POZICIE!$A$4:$E$39,5,0),)</f>
        <v>465.27905382242028</v>
      </c>
      <c r="I21" s="490">
        <f t="shared" si="0"/>
        <v>5241.0424346335194</v>
      </c>
      <c r="J21" s="490">
        <f t="shared" si="1"/>
        <v>121643.58889841405</v>
      </c>
      <c r="K21" s="490">
        <f t="shared" si="2"/>
        <v>126884.63133304757</v>
      </c>
      <c r="L21" s="658" t="s">
        <v>1325</v>
      </c>
    </row>
    <row r="22" spans="1:12" ht="60" customHeight="1">
      <c r="A22" s="799"/>
      <c r="B22" s="546" t="s">
        <v>1309</v>
      </c>
      <c r="C22" s="426" t="s">
        <v>540</v>
      </c>
      <c r="D22" s="546"/>
      <c r="E22" s="629">
        <f>IFERROR(VLOOKUP(B22,MODULY_CBA!$B$3:$O$23,14,0)*VLOOKUP('Rozpocet - Vyvoj aplikacii'!C22,EXTERNE_POZICIE!$A$4:$C$39,3,0),0)</f>
        <v>510.07286755250743</v>
      </c>
      <c r="F22" s="489">
        <f>IFERROR(VLOOKUP(C22,POZICIE_INTERNE!$A$4:$D$39,3,0)*VLOOKUP(B22,MODULY_CBA!$B$3:$J$23,9,0)/SUM(MODULY_CBA!$J$3:$J$23),)</f>
        <v>69.952850407201026</v>
      </c>
      <c r="G22" s="495">
        <f>IFERROR(IF(ISTEXT(B22),VLOOKUP(C22,POZICIE_INTERNE!$A$4:$D$39,4,0),),)</f>
        <v>312.72000000000003</v>
      </c>
      <c r="H22" s="496">
        <f>IF(ISTEXT(B22),VLOOKUP(C22,EXTERNE_POZICIE!$A$4:$E$39,5,0),)</f>
        <v>437.48</v>
      </c>
      <c r="I22" s="490">
        <f t="shared" si="0"/>
        <v>21875.655379339907</v>
      </c>
      <c r="J22" s="490">
        <f t="shared" si="1"/>
        <v>274470.41405915126</v>
      </c>
      <c r="K22" s="490">
        <f t="shared" si="2"/>
        <v>296346.06943849113</v>
      </c>
      <c r="L22" s="658" t="s">
        <v>1325</v>
      </c>
    </row>
    <row r="23" spans="1:12" ht="60">
      <c r="A23" s="799"/>
      <c r="B23" s="546" t="s">
        <v>1309</v>
      </c>
      <c r="C23" s="426" t="s">
        <v>264</v>
      </c>
      <c r="D23" s="546"/>
      <c r="E23" s="629">
        <f>IFERROR(VLOOKUP(B23,MODULY_CBA!$B$3:$O$23,14,0)*VLOOKUP('Rozpocet - Vyvoj aplikacii'!C23,EXTERNE_POZICIE!$A$4:$C$39,3,0),0)</f>
        <v>127.29961423060436</v>
      </c>
      <c r="F23" s="489">
        <f>IFERROR(VLOOKUP(C23,POZICIE_INTERNE!$A$4:$D$39,3,0)*VLOOKUP(B23,MODULY_CBA!$B$3:$J$23,9,0)/SUM(MODULY_CBA!$J$3:$J$23),)</f>
        <v>0</v>
      </c>
      <c r="G23" s="495">
        <f>IFERROR(IF(ISTEXT(B23),VLOOKUP(C23,POZICIE_INTERNE!$A$4:$D$39,4,0),),)</f>
        <v>0</v>
      </c>
      <c r="H23" s="496">
        <f>IF(ISTEXT(B23),VLOOKUP(C23,EXTERNE_POZICIE!$A$4:$E$39,5,0),)</f>
        <v>436.37321121923299</v>
      </c>
      <c r="I23" s="490">
        <f t="shared" si="0"/>
        <v>0</v>
      </c>
      <c r="J23" s="490">
        <f t="shared" si="1"/>
        <v>68326.673981997417</v>
      </c>
      <c r="K23" s="490">
        <f t="shared" ref="K23:K65" si="3">J23+I23</f>
        <v>68326.673981997417</v>
      </c>
      <c r="L23" s="658" t="s">
        <v>1325</v>
      </c>
    </row>
    <row r="24" spans="1:12" ht="60">
      <c r="A24" s="799" t="s">
        <v>279</v>
      </c>
      <c r="B24" s="546" t="s">
        <v>1310</v>
      </c>
      <c r="C24" s="426" t="s">
        <v>263</v>
      </c>
      <c r="D24" s="546"/>
      <c r="E24" s="629">
        <f>IFERROR(VLOOKUP(B24,MODULY_CBA!$B$3:$O$23,14,0)*VLOOKUP('Rozpocet - Vyvoj aplikacii'!C24,EXTERNE_POZICIE!$A$4:$C$39,3,0),0)</f>
        <v>249.31410201457351</v>
      </c>
      <c r="F24" s="489">
        <f>IFERROR(VLOOKUP(C24,POZICIE_INTERNE!$A$4:$D$39,3,0)*VLOOKUP(B24,MODULY_CBA!$B$3:$J$23,9,0)/SUM(MODULY_CBA!$J$3:$J$23),)</f>
        <v>19.657951135876555</v>
      </c>
      <c r="G24" s="495">
        <f>IFERROR(IF(ISTEXT(B24),VLOOKUP(C24,POZICIE_INTERNE!$A$4:$D$39,4,0),),)</f>
        <v>312.72000000000003</v>
      </c>
      <c r="H24" s="496">
        <f>IF(ISTEXT(B24),VLOOKUP(C24,EXTERNE_POZICIE!$A$4:$E$39,5,0),)</f>
        <v>465.27905382242028</v>
      </c>
      <c r="I24" s="490">
        <f t="shared" si="0"/>
        <v>6147.434479211317</v>
      </c>
      <c r="J24" s="490">
        <f t="shared" si="1"/>
        <v>142680.77427261038</v>
      </c>
      <c r="K24" s="490">
        <f t="shared" si="3"/>
        <v>148828.20875182169</v>
      </c>
      <c r="L24" s="658" t="s">
        <v>1325</v>
      </c>
    </row>
    <row r="25" spans="1:12" ht="60">
      <c r="A25" s="799"/>
      <c r="B25" s="546" t="s">
        <v>1310</v>
      </c>
      <c r="C25" s="426" t="s">
        <v>540</v>
      </c>
      <c r="D25" s="546"/>
      <c r="E25" s="629">
        <f>IFERROR(VLOOKUP(B25,MODULY_CBA!$B$3:$O$23,14,0)*VLOOKUP('Rozpocet - Vyvoj aplikacii'!C25,EXTERNE_POZICIE!$A$4:$C$39,3,0),0)</f>
        <v>598.28546935276461</v>
      </c>
      <c r="F25" s="489">
        <f>IFERROR(VLOOKUP(C25,POZICIE_INTERNE!$A$4:$D$39,3,0)*VLOOKUP(B25,MODULY_CBA!$B$3:$J$23,9,0)/SUM(MODULY_CBA!$J$3:$J$23),)</f>
        <v>82.050578654093442</v>
      </c>
      <c r="G25" s="495">
        <f>IFERROR(IF(ISTEXT(B25),VLOOKUP(C25,POZICIE_INTERNE!$A$4:$D$39,4,0),),)</f>
        <v>312.72000000000003</v>
      </c>
      <c r="H25" s="496">
        <f>IF(ISTEXT(B25),VLOOKUP(C25,EXTERNE_POZICIE!$A$4:$E$39,5,0),)</f>
        <v>437.48</v>
      </c>
      <c r="I25" s="490">
        <f t="shared" si="0"/>
        <v>25658.856956708103</v>
      </c>
      <c r="J25" s="490">
        <f t="shared" si="1"/>
        <v>321937.65037291037</v>
      </c>
      <c r="K25" s="490">
        <f t="shared" si="3"/>
        <v>347596.5073296185</v>
      </c>
      <c r="L25" s="658" t="s">
        <v>1325</v>
      </c>
    </row>
    <row r="26" spans="1:12" ht="60">
      <c r="A26" s="800"/>
      <c r="B26" s="546" t="s">
        <v>1310</v>
      </c>
      <c r="C26" s="426" t="s">
        <v>264</v>
      </c>
      <c r="D26" s="546"/>
      <c r="E26" s="629">
        <f>IFERROR(VLOOKUP(B26,MODULY_CBA!$B$3:$O$23,14,0)*VLOOKUP('Rozpocet - Vyvoj aplikacii'!C26,EXTERNE_POZICIE!$A$4:$C$39,3,0),0)</f>
        <v>149.31495927989712</v>
      </c>
      <c r="F26" s="489">
        <f>IFERROR(VLOOKUP(C26,POZICIE_INTERNE!$A$4:$D$39,3,0)*VLOOKUP(B26,MODULY_CBA!$B$3:$J$23,9,0)/SUM(MODULY_CBA!$J$3:$J$23),)</f>
        <v>0</v>
      </c>
      <c r="G26" s="495">
        <f>IFERROR(IF(ISTEXT(B26),VLOOKUP(C26,POZICIE_INTERNE!$A$4:$D$39,4,0),),)</f>
        <v>0</v>
      </c>
      <c r="H26" s="496">
        <f>IF(ISTEXT(B26),VLOOKUP(C26,EXTERNE_POZICIE!$A$4:$E$39,5,0),)</f>
        <v>436.37321121923299</v>
      </c>
      <c r="I26" s="490">
        <f t="shared" si="0"/>
        <v>0</v>
      </c>
      <c r="J26" s="490">
        <f t="shared" si="1"/>
        <v>80143.169364766392</v>
      </c>
      <c r="K26" s="490">
        <f t="shared" si="3"/>
        <v>80143.169364766392</v>
      </c>
      <c r="L26" s="658" t="s">
        <v>1325</v>
      </c>
    </row>
    <row r="27" spans="1:12" ht="60">
      <c r="A27" s="801" t="s">
        <v>280</v>
      </c>
      <c r="B27" s="546" t="s">
        <v>1311</v>
      </c>
      <c r="C27" s="426" t="s">
        <v>263</v>
      </c>
      <c r="D27" s="546"/>
      <c r="E27" s="629">
        <f>IFERROR(VLOOKUP(B27,MODULY_CBA!$B$3:$O$23,14,0)*VLOOKUP('Rozpocet - Vyvoj aplikacii'!C27,EXTERNE_POZICIE!$A$4:$C$39,3,0),0)</f>
        <v>110.77848264037721</v>
      </c>
      <c r="F27" s="489">
        <f>IFERROR(VLOOKUP(C27,POZICIE_INTERNE!$A$4:$D$39,3,0)*VLOOKUP(B27,MODULY_CBA!$B$3:$J$23,9,0)/SUM(MODULY_CBA!$J$3:$J$23),)</f>
        <v>8.7346763823403339</v>
      </c>
      <c r="G27" s="495">
        <f>IFERROR(IF(ISTEXT(B27),VLOOKUP(C27,POZICIE_INTERNE!$A$4:$D$39,4,0),),)</f>
        <v>312.72000000000003</v>
      </c>
      <c r="H27" s="496">
        <f>IF(ISTEXT(B27),VLOOKUP(C27,EXTERNE_POZICIE!$A$4:$E$39,5,0),)</f>
        <v>465.27905382242028</v>
      </c>
      <c r="I27" s="490">
        <f t="shared" si="0"/>
        <v>2731.5079982854695</v>
      </c>
      <c r="J27" s="490">
        <f t="shared" si="1"/>
        <v>63397.776331761685</v>
      </c>
      <c r="K27" s="490">
        <f t="shared" si="3"/>
        <v>66129.284330047158</v>
      </c>
      <c r="L27" s="658" t="s">
        <v>1325</v>
      </c>
    </row>
    <row r="28" spans="1:12" ht="60">
      <c r="A28" s="799"/>
      <c r="B28" s="546" t="s">
        <v>1311</v>
      </c>
      <c r="C28" s="426" t="s">
        <v>540</v>
      </c>
      <c r="D28" s="546"/>
      <c r="E28" s="629">
        <f>IFERROR(VLOOKUP(B28,MODULY_CBA!$B$3:$O$23,14,0)*VLOOKUP('Rozpocet - Vyvoj aplikacii'!C28,EXTERNE_POZICIE!$A$4:$C$39,3,0),0)</f>
        <v>265.83797685383627</v>
      </c>
      <c r="F28" s="489">
        <f>IFERROR(VLOOKUP(C28,POZICIE_INTERNE!$A$4:$D$39,3,0)*VLOOKUP(B28,MODULY_CBA!$B$3:$J$23,9,0)/SUM(MODULY_CBA!$J$3:$J$23),)</f>
        <v>36.457779682811832</v>
      </c>
      <c r="G28" s="495">
        <f>IFERROR(IF(ISTEXT(B28),VLOOKUP(C28,POZICIE_INTERNE!$A$4:$D$39,4,0),),)</f>
        <v>312.72000000000003</v>
      </c>
      <c r="H28" s="496">
        <f>IF(ISTEXT(B28),VLOOKUP(C28,EXTERNE_POZICIE!$A$4:$E$39,5,0),)</f>
        <v>437.48</v>
      </c>
      <c r="I28" s="490">
        <f t="shared" si="0"/>
        <v>11401.076862408918</v>
      </c>
      <c r="J28" s="490">
        <f t="shared" si="1"/>
        <v>143047.52168024002</v>
      </c>
      <c r="K28" s="490">
        <f t="shared" si="3"/>
        <v>154448.59854264895</v>
      </c>
      <c r="L28" s="658" t="s">
        <v>1325</v>
      </c>
    </row>
    <row r="29" spans="1:12" ht="60">
      <c r="A29" s="799"/>
      <c r="B29" s="546" t="s">
        <v>1311</v>
      </c>
      <c r="C29" s="426" t="s">
        <v>264</v>
      </c>
      <c r="D29" s="546"/>
      <c r="E29" s="629">
        <f>IFERROR(VLOOKUP(B29,MODULY_CBA!$B$3:$O$23,14,0)*VLOOKUP('Rozpocet - Vyvoj aplikacii'!C29,EXTERNE_POZICIE!$A$4:$C$39,3,0),0)</f>
        <v>66.345563651950272</v>
      </c>
      <c r="F29" s="489">
        <f>IFERROR(VLOOKUP(C29,POZICIE_INTERNE!$A$4:$D$39,3,0)*VLOOKUP(B29,MODULY_CBA!$B$3:$J$23,9,0)/SUM(MODULY_CBA!$J$3:$J$23),)</f>
        <v>0</v>
      </c>
      <c r="G29" s="495">
        <f>IFERROR(IF(ISTEXT(B29),VLOOKUP(C29,POZICIE_INTERNE!$A$4:$D$39,4,0),),)</f>
        <v>0</v>
      </c>
      <c r="H29" s="496">
        <f>IF(ISTEXT(B29),VLOOKUP(C29,EXTERNE_POZICIE!$A$4:$E$39,5,0),)</f>
        <v>436.37321121923299</v>
      </c>
      <c r="I29" s="490">
        <f t="shared" si="0"/>
        <v>0</v>
      </c>
      <c r="J29" s="490">
        <f t="shared" si="1"/>
        <v>35610.254792970423</v>
      </c>
      <c r="K29" s="490">
        <f t="shared" si="3"/>
        <v>35610.254792970423</v>
      </c>
      <c r="L29" s="658" t="s">
        <v>1325</v>
      </c>
    </row>
    <row r="30" spans="1:12" ht="60">
      <c r="A30" s="799" t="s">
        <v>281</v>
      </c>
      <c r="B30" s="546" t="s">
        <v>1312</v>
      </c>
      <c r="C30" s="426" t="s">
        <v>263</v>
      </c>
      <c r="D30" s="546"/>
      <c r="E30" s="629">
        <f>IFERROR(VLOOKUP(B30,MODULY_CBA!$B$3:$O$23,14,0)*VLOOKUP('Rozpocet - Vyvoj aplikacii'!C30,EXTERNE_POZICIE!$A$4:$C$39,3,0),0)</f>
        <v>166.29275610801545</v>
      </c>
      <c r="F30" s="489">
        <f>IFERROR(VLOOKUP(C30,POZICIE_INTERNE!$A$4:$D$39,3,0)*VLOOKUP(B30,MODULY_CBA!$B$3:$J$23,9,0)/SUM(MODULY_CBA!$J$3:$J$23),)</f>
        <v>13.111873124732105</v>
      </c>
      <c r="G30" s="495">
        <f>IFERROR(IF(ISTEXT(B30),VLOOKUP(C30,POZICIE_INTERNE!$A$4:$D$39,4,0),),)</f>
        <v>312.72000000000003</v>
      </c>
      <c r="H30" s="496">
        <f>IF(ISTEXT(B30),VLOOKUP(C30,EXTERNE_POZICIE!$A$4:$E$39,5,0),)</f>
        <v>465.27905382242028</v>
      </c>
      <c r="I30" s="490">
        <f t="shared" si="0"/>
        <v>4100.3449635662246</v>
      </c>
      <c r="J30" s="490">
        <f t="shared" si="1"/>
        <v>95168.219549935719</v>
      </c>
      <c r="K30" s="490">
        <f t="shared" si="3"/>
        <v>99268.564513501944</v>
      </c>
      <c r="L30" s="658" t="s">
        <v>1325</v>
      </c>
    </row>
    <row r="31" spans="1:12" ht="60">
      <c r="A31" s="799"/>
      <c r="B31" s="546" t="s">
        <v>1312</v>
      </c>
      <c r="C31" s="426" t="s">
        <v>540</v>
      </c>
      <c r="D31" s="546"/>
      <c r="E31" s="629">
        <f>IFERROR(VLOOKUP(B31,MODULY_CBA!$B$3:$O$23,14,0)*VLOOKUP('Rozpocet - Vyvoj aplikacii'!C31,EXTERNE_POZICIE!$A$4:$C$39,3,0),0)</f>
        <v>399.05700814402053</v>
      </c>
      <c r="F31" s="489">
        <f>IFERROR(VLOOKUP(C31,POZICIE_INTERNE!$A$4:$D$39,3,0)*VLOOKUP(B31,MODULY_CBA!$B$3:$J$23,9,0)/SUM(MODULY_CBA!$J$3:$J$23),)</f>
        <v>54.727818259751395</v>
      </c>
      <c r="G31" s="495">
        <f>IFERROR(IF(ISTEXT(B31),VLOOKUP(C31,POZICIE_INTERNE!$A$4:$D$39,4,0),),)</f>
        <v>312.72000000000003</v>
      </c>
      <c r="H31" s="496">
        <f>IF(ISTEXT(B31),VLOOKUP(C31,EXTERNE_POZICIE!$A$4:$E$39,5,0),)</f>
        <v>437.48</v>
      </c>
      <c r="I31" s="490">
        <f t="shared" si="0"/>
        <v>17114.483326189456</v>
      </c>
      <c r="J31" s="490">
        <f t="shared" si="1"/>
        <v>214732.73570510073</v>
      </c>
      <c r="K31" s="490">
        <f t="shared" si="3"/>
        <v>231847.21903129018</v>
      </c>
      <c r="L31" s="658" t="s">
        <v>1325</v>
      </c>
    </row>
    <row r="32" spans="1:12" ht="60">
      <c r="A32" s="799"/>
      <c r="B32" s="546" t="s">
        <v>1312</v>
      </c>
      <c r="C32" s="426" t="s">
        <v>264</v>
      </c>
      <c r="D32" s="546"/>
      <c r="E32" s="629">
        <f>IFERROR(VLOOKUP(B32,MODULY_CBA!$B$3:$O$23,14,0)*VLOOKUP('Rozpocet - Vyvoj aplikacii'!C32,EXTERNE_POZICIE!$A$4:$C$39,3,0),0)</f>
        <v>99.593227603943419</v>
      </c>
      <c r="F32" s="489">
        <f>IFERROR(VLOOKUP(C32,POZICIE_INTERNE!$A$4:$D$39,3,0)*VLOOKUP(B32,MODULY_CBA!$B$3:$J$23,9,0)/SUM(MODULY_CBA!$J$3:$J$23),)</f>
        <v>0</v>
      </c>
      <c r="G32" s="495">
        <f>IFERROR(IF(ISTEXT(B32),VLOOKUP(C32,POZICIE_INTERNE!$A$4:$D$39,4,0),),)</f>
        <v>0</v>
      </c>
      <c r="H32" s="496">
        <f>IF(ISTEXT(B32),VLOOKUP(C32,EXTERNE_POZICIE!$A$4:$E$39,5,0),)</f>
        <v>436.37321121923299</v>
      </c>
      <c r="I32" s="490">
        <f t="shared" si="0"/>
        <v>0</v>
      </c>
      <c r="J32" s="490">
        <f t="shared" si="1"/>
        <v>53455.574350621515</v>
      </c>
      <c r="K32" s="490">
        <f t="shared" si="3"/>
        <v>53455.574350621515</v>
      </c>
      <c r="L32" s="658" t="s">
        <v>1325</v>
      </c>
    </row>
    <row r="33" spans="1:12" ht="60">
      <c r="A33" s="799" t="s">
        <v>282</v>
      </c>
      <c r="B33" s="546" t="s">
        <v>1315</v>
      </c>
      <c r="C33" s="426" t="s">
        <v>263</v>
      </c>
      <c r="D33" s="546"/>
      <c r="E33" s="629">
        <f>IFERROR(VLOOKUP(B33,MODULY_CBA!$B$3:$O$23,14,0)*VLOOKUP('Rozpocet - Vyvoj aplikacii'!C33,EXTERNE_POZICIE!$A$4:$C$39,3,0),0)</f>
        <v>129.28324046292329</v>
      </c>
      <c r="F33" s="489">
        <f>IFERROR(VLOOKUP(C33,POZICIE_INTERNE!$A$4:$D$39,3,0)*VLOOKUP(B33,MODULY_CBA!$B$3:$J$23,9,0)/SUM(MODULY_CBA!$J$3:$J$23),)</f>
        <v>10.19374196313759</v>
      </c>
      <c r="G33" s="495">
        <f>IFERROR(IF(ISTEXT(B33),VLOOKUP(C33,POZICIE_INTERNE!$A$4:$D$39,4,0),),)</f>
        <v>312.72000000000003</v>
      </c>
      <c r="H33" s="496">
        <f>IF(ISTEXT(B33),VLOOKUP(C33,EXTERNE_POZICIE!$A$4:$E$39,5,0),)</f>
        <v>465.27905382242028</v>
      </c>
      <c r="I33" s="490">
        <f t="shared" si="0"/>
        <v>3187.7869867123877</v>
      </c>
      <c r="J33" s="490">
        <f t="shared" si="1"/>
        <v>73987.924071153029</v>
      </c>
      <c r="K33" s="490">
        <f t="shared" si="3"/>
        <v>77175.71105786541</v>
      </c>
      <c r="L33" s="658" t="s">
        <v>1325</v>
      </c>
    </row>
    <row r="34" spans="1:12" ht="60">
      <c r="A34" s="799"/>
      <c r="B34" s="546" t="s">
        <v>1315</v>
      </c>
      <c r="C34" s="426" t="s">
        <v>540</v>
      </c>
      <c r="D34" s="546"/>
      <c r="E34" s="629">
        <f>IFERROR(VLOOKUP(B34,MODULY_CBA!$B$3:$O$23,14,0)*VLOOKUP('Rozpocet - Vyvoj aplikacii'!C34,EXTERNE_POZICIE!$A$4:$C$39,3,0),0)</f>
        <v>310.24432061723098</v>
      </c>
      <c r="F34" s="489">
        <f>IFERROR(VLOOKUP(C34,POZICIE_INTERNE!$A$4:$D$39,3,0)*VLOOKUP(B34,MODULY_CBA!$B$3:$J$23,9,0)/SUM(MODULY_CBA!$J$3:$J$23),)</f>
        <v>42.547792541791686</v>
      </c>
      <c r="G34" s="495">
        <f>IFERROR(IF(ISTEXT(B34),VLOOKUP(C34,POZICIE_INTERNE!$A$4:$D$39,4,0),),)</f>
        <v>312.72000000000003</v>
      </c>
      <c r="H34" s="496">
        <f>IF(ISTEXT(B34),VLOOKUP(C34,EXTERNE_POZICIE!$A$4:$E$39,5,0),)</f>
        <v>437.48</v>
      </c>
      <c r="I34" s="490">
        <f t="shared" si="0"/>
        <v>13305.545683669097</v>
      </c>
      <c r="J34" s="490">
        <f t="shared" si="1"/>
        <v>166942.59302186023</v>
      </c>
      <c r="K34" s="490">
        <f t="shared" si="3"/>
        <v>180248.13870552933</v>
      </c>
      <c r="L34" s="658" t="s">
        <v>1325</v>
      </c>
    </row>
    <row r="35" spans="1:12" ht="60">
      <c r="A35" s="799"/>
      <c r="B35" s="546" t="s">
        <v>1315</v>
      </c>
      <c r="C35" s="426" t="s">
        <v>264</v>
      </c>
      <c r="D35" s="546"/>
      <c r="E35" s="629">
        <f>IFERROR(VLOOKUP(B35,MODULY_CBA!$B$3:$O$23,14,0)*VLOOKUP('Rozpocet - Vyvoj aplikacii'!C35,EXTERNE_POZICIE!$A$4:$C$39,3,0),0)</f>
        <v>77.428118302614649</v>
      </c>
      <c r="F35" s="489">
        <f>IFERROR(VLOOKUP(C35,POZICIE_INTERNE!$A$4:$D$39,3,0)*VLOOKUP(B35,MODULY_CBA!$B$3:$J$23,9,0)/SUM(MODULY_CBA!$J$3:$J$23),)</f>
        <v>0</v>
      </c>
      <c r="G35" s="495">
        <f>IFERROR(IF(ISTEXT(B35),VLOOKUP(C35,POZICIE_INTERNE!$A$4:$D$39,4,0),),)</f>
        <v>0</v>
      </c>
      <c r="H35" s="496">
        <f>IF(ISTEXT(B35),VLOOKUP(C35,EXTERNE_POZICIE!$A$4:$E$39,5,0),)</f>
        <v>436.37321121923299</v>
      </c>
      <c r="I35" s="490">
        <f t="shared" si="0"/>
        <v>0</v>
      </c>
      <c r="J35" s="490">
        <f t="shared" si="1"/>
        <v>41558.69464552078</v>
      </c>
      <c r="K35" s="490">
        <f t="shared" si="3"/>
        <v>41558.69464552078</v>
      </c>
      <c r="L35" s="658" t="s">
        <v>1325</v>
      </c>
    </row>
    <row r="36" spans="1:12" ht="60">
      <c r="A36" s="799" t="s">
        <v>283</v>
      </c>
      <c r="B36" s="546" t="s">
        <v>1316</v>
      </c>
      <c r="C36" s="426" t="s">
        <v>263</v>
      </c>
      <c r="D36" s="546"/>
      <c r="E36" s="629">
        <f>IFERROR(VLOOKUP(B36,MODULY_CBA!$B$3:$O$23,14,0)*VLOOKUP('Rozpocet - Vyvoj aplikacii'!C36,EXTERNE_POZICIE!$A$4:$C$39,3,0),0)</f>
        <v>92.273724817831138</v>
      </c>
      <c r="F36" s="489">
        <f>IFERROR(VLOOKUP(C36,POZICIE_INTERNE!$A$4:$D$39,3,0)*VLOOKUP(B36,MODULY_CBA!$B$3:$J$23,9,0)/SUM(MODULY_CBA!$J$3:$J$23),)</f>
        <v>7.2756108015430776</v>
      </c>
      <c r="G36" s="495">
        <f>IFERROR(IF(ISTEXT(B36),VLOOKUP(C36,POZICIE_INTERNE!$A$4:$D$39,4,0),),)</f>
        <v>312.72000000000003</v>
      </c>
      <c r="H36" s="496">
        <f>IF(ISTEXT(B36),VLOOKUP(C36,EXTERNE_POZICIE!$A$4:$E$39,5,0),)</f>
        <v>465.27905382242028</v>
      </c>
      <c r="I36" s="490">
        <f t="shared" si="0"/>
        <v>2275.2290098585513</v>
      </c>
      <c r="J36" s="490">
        <f t="shared" si="1"/>
        <v>52807.628592370347</v>
      </c>
      <c r="K36" s="490">
        <f t="shared" si="3"/>
        <v>55082.857602228898</v>
      </c>
      <c r="L36" s="658" t="s">
        <v>1325</v>
      </c>
    </row>
    <row r="37" spans="1:12" ht="60">
      <c r="A37" s="799"/>
      <c r="B37" s="546" t="s">
        <v>1316</v>
      </c>
      <c r="C37" s="426" t="s">
        <v>540</v>
      </c>
      <c r="D37" s="546"/>
      <c r="E37" s="629">
        <f>IFERROR(VLOOKUP(B37,MODULY_CBA!$B$3:$O$23,14,0)*VLOOKUP('Rozpocet - Vyvoj aplikacii'!C37,EXTERNE_POZICIE!$A$4:$C$39,3,0),0)</f>
        <v>221.43163309044149</v>
      </c>
      <c r="F37" s="489">
        <f>IFERROR(VLOOKUP(C37,POZICIE_INTERNE!$A$4:$D$39,3,0)*VLOOKUP(B37,MODULY_CBA!$B$3:$J$23,9,0)/SUM(MODULY_CBA!$J$3:$J$23),)</f>
        <v>30.367766823831975</v>
      </c>
      <c r="G37" s="495">
        <f>IFERROR(IF(ISTEXT(B37),VLOOKUP(C37,POZICIE_INTERNE!$A$4:$D$39,4,0),),)</f>
        <v>312.72000000000003</v>
      </c>
      <c r="H37" s="496">
        <f>IF(ISTEXT(B37),VLOOKUP(C37,EXTERNE_POZICIE!$A$4:$E$39,5,0),)</f>
        <v>437.48</v>
      </c>
      <c r="I37" s="490">
        <f t="shared" si="0"/>
        <v>9496.6080411487364</v>
      </c>
      <c r="J37" s="490">
        <f t="shared" si="1"/>
        <v>119152.4503386198</v>
      </c>
      <c r="K37" s="490">
        <f t="shared" si="3"/>
        <v>128649.05837976854</v>
      </c>
      <c r="L37" s="658" t="s">
        <v>1325</v>
      </c>
    </row>
    <row r="38" spans="1:12" ht="60">
      <c r="A38" s="800"/>
      <c r="B38" s="546" t="s">
        <v>1316</v>
      </c>
      <c r="C38" s="426" t="s">
        <v>264</v>
      </c>
      <c r="D38" s="546"/>
      <c r="E38" s="629">
        <f>IFERROR(VLOOKUP(B38,MODULY_CBA!$B$3:$O$23,14,0)*VLOOKUP('Rozpocet - Vyvoj aplikacii'!C38,EXTERNE_POZICIE!$A$4:$C$39,3,0),0)</f>
        <v>55.263009001285901</v>
      </c>
      <c r="F38" s="489">
        <f>IFERROR(VLOOKUP(C38,POZICIE_INTERNE!$A$4:$D$39,3,0)*VLOOKUP(B38,MODULY_CBA!$B$3:$J$23,9,0)/SUM(MODULY_CBA!$J$3:$J$23),)</f>
        <v>0</v>
      </c>
      <c r="G38" s="495">
        <f>IFERROR(IF(ISTEXT(B38),VLOOKUP(C38,POZICIE_INTERNE!$A$4:$D$39,4,0),),)</f>
        <v>0</v>
      </c>
      <c r="H38" s="496">
        <f>IF(ISTEXT(B38),VLOOKUP(C38,EXTERNE_POZICIE!$A$4:$E$39,5,0),)</f>
        <v>436.37321121923299</v>
      </c>
      <c r="I38" s="490">
        <f t="shared" si="0"/>
        <v>0</v>
      </c>
      <c r="J38" s="490">
        <f t="shared" si="1"/>
        <v>29661.814940420063</v>
      </c>
      <c r="K38" s="490">
        <f t="shared" si="3"/>
        <v>29661.814940420063</v>
      </c>
      <c r="L38" s="658" t="s">
        <v>1325</v>
      </c>
    </row>
    <row r="39" spans="1:12" ht="60">
      <c r="A39" s="801" t="s">
        <v>284</v>
      </c>
      <c r="B39" s="546" t="s">
        <v>1317</v>
      </c>
      <c r="C39" s="426" t="s">
        <v>263</v>
      </c>
      <c r="D39" s="546"/>
      <c r="E39" s="629">
        <f>IFERROR(VLOOKUP(B39,MODULY_CBA!$B$3:$O$23,14,0)*VLOOKUP('Rozpocet - Vyvoj aplikacii'!C39,EXTERNE_POZICIE!$A$4:$C$39,3,0),0)</f>
        <v>92.273724817831138</v>
      </c>
      <c r="F39" s="489">
        <f>IFERROR(VLOOKUP(C39,POZICIE_INTERNE!$A$4:$D$39,3,0)*VLOOKUP(B39,MODULY_CBA!$B$3:$J$23,9,0)/SUM(MODULY_CBA!$J$3:$J$23),)</f>
        <v>7.2756108015430776</v>
      </c>
      <c r="G39" s="495">
        <f>IFERROR(IF(ISTEXT(B39),VLOOKUP(C39,POZICIE_INTERNE!$A$4:$D$39,4,0),),)</f>
        <v>312.72000000000003</v>
      </c>
      <c r="H39" s="496">
        <f>IF(ISTEXT(B39),VLOOKUP(C39,EXTERNE_POZICIE!$A$4:$E$39,5,0),)</f>
        <v>465.27905382242028</v>
      </c>
      <c r="I39" s="490">
        <f t="shared" si="0"/>
        <v>2275.2290098585513</v>
      </c>
      <c r="J39" s="490">
        <f t="shared" si="1"/>
        <v>52807.628592370347</v>
      </c>
      <c r="K39" s="490">
        <f t="shared" si="3"/>
        <v>55082.857602228898</v>
      </c>
      <c r="L39" s="658" t="s">
        <v>1325</v>
      </c>
    </row>
    <row r="40" spans="1:12" ht="60">
      <c r="A40" s="799"/>
      <c r="B40" s="546" t="s">
        <v>1317</v>
      </c>
      <c r="C40" s="426" t="s">
        <v>540</v>
      </c>
      <c r="D40" s="546"/>
      <c r="E40" s="629">
        <f>IFERROR(VLOOKUP(B40,MODULY_CBA!$B$3:$O$23,14,0)*VLOOKUP('Rozpocet - Vyvoj aplikacii'!C40,EXTERNE_POZICIE!$A$4:$C$39,3,0),0)</f>
        <v>221.43163309044149</v>
      </c>
      <c r="F40" s="489">
        <f>IFERROR(VLOOKUP(C40,POZICIE_INTERNE!$A$4:$D$39,3,0)*VLOOKUP(B40,MODULY_CBA!$B$3:$J$23,9,0)/SUM(MODULY_CBA!$J$3:$J$23),)</f>
        <v>30.367766823831975</v>
      </c>
      <c r="G40" s="495">
        <f>IFERROR(IF(ISTEXT(B40),VLOOKUP(C40,POZICIE_INTERNE!$A$4:$D$39,4,0),),)</f>
        <v>312.72000000000003</v>
      </c>
      <c r="H40" s="496">
        <f>IF(ISTEXT(B40),VLOOKUP(C40,EXTERNE_POZICIE!$A$4:$E$39,5,0),)</f>
        <v>437.48</v>
      </c>
      <c r="I40" s="490">
        <f t="shared" si="0"/>
        <v>9496.6080411487364</v>
      </c>
      <c r="J40" s="490">
        <f t="shared" si="1"/>
        <v>119152.4503386198</v>
      </c>
      <c r="K40" s="490">
        <f t="shared" si="3"/>
        <v>128649.05837976854</v>
      </c>
      <c r="L40" s="658" t="s">
        <v>1325</v>
      </c>
    </row>
    <row r="41" spans="1:12" ht="60">
      <c r="A41" s="799"/>
      <c r="B41" s="546" t="s">
        <v>1317</v>
      </c>
      <c r="C41" s="426" t="s">
        <v>264</v>
      </c>
      <c r="D41" s="546"/>
      <c r="E41" s="629">
        <f>IFERROR(VLOOKUP(B41,MODULY_CBA!$B$3:$O$23,14,0)*VLOOKUP('Rozpocet - Vyvoj aplikacii'!C41,EXTERNE_POZICIE!$A$4:$C$39,3,0),0)</f>
        <v>55.263009001285901</v>
      </c>
      <c r="F41" s="489">
        <f>IFERROR(VLOOKUP(C41,POZICIE_INTERNE!$A$4:$D$39,3,0)*VLOOKUP(B41,MODULY_CBA!$B$3:$J$23,9,0)/SUM(MODULY_CBA!$J$3:$J$23),)</f>
        <v>0</v>
      </c>
      <c r="G41" s="495">
        <f>IFERROR(IF(ISTEXT(B41),VLOOKUP(C41,POZICIE_INTERNE!$A$4:$D$39,4,0),),)</f>
        <v>0</v>
      </c>
      <c r="H41" s="496">
        <f>IF(ISTEXT(B41),VLOOKUP(C41,EXTERNE_POZICIE!$A$4:$E$39,5,0),)</f>
        <v>436.37321121923299</v>
      </c>
      <c r="I41" s="490">
        <f t="shared" si="0"/>
        <v>0</v>
      </c>
      <c r="J41" s="490">
        <f t="shared" si="1"/>
        <v>29661.814940420063</v>
      </c>
      <c r="K41" s="490">
        <f t="shared" si="3"/>
        <v>29661.814940420063</v>
      </c>
      <c r="L41" s="658" t="s">
        <v>1325</v>
      </c>
    </row>
    <row r="42" spans="1:12" ht="60">
      <c r="A42" s="799" t="s">
        <v>285</v>
      </c>
      <c r="B42" s="546" t="s">
        <v>1318</v>
      </c>
      <c r="C42" s="426" t="s">
        <v>263</v>
      </c>
      <c r="D42" s="546"/>
      <c r="E42" s="629">
        <f>IFERROR(VLOOKUP(B42,MODULY_CBA!$B$3:$O$23,14,0)*VLOOKUP('Rozpocet - Vyvoj aplikacii'!C42,EXTERNE_POZICIE!$A$4:$C$39,3,0),0)</f>
        <v>138.5356193741963</v>
      </c>
      <c r="F42" s="489">
        <f>IFERROR(VLOOKUP(C42,POZICIE_INTERNE!$A$4:$D$39,3,0)*VLOOKUP(B42,MODULY_CBA!$B$3:$J$23,9,0)/SUM(MODULY_CBA!$J$3:$J$23),)</f>
        <v>10.923274753536219</v>
      </c>
      <c r="G42" s="495">
        <f>IFERROR(IF(ISTEXT(B42),VLOOKUP(C42,POZICIE_INTERNE!$A$4:$D$39,4,0),),)</f>
        <v>312.72000000000003</v>
      </c>
      <c r="H42" s="496">
        <f>IF(ISTEXT(B42),VLOOKUP(C42,EXTERNE_POZICIE!$A$4:$E$39,5,0),)</f>
        <v>465.27905382242028</v>
      </c>
      <c r="I42" s="490">
        <f t="shared" si="0"/>
        <v>3415.9264809258466</v>
      </c>
      <c r="J42" s="490">
        <f t="shared" si="1"/>
        <v>79282.997940848683</v>
      </c>
      <c r="K42" s="490">
        <f t="shared" si="3"/>
        <v>82698.924421774529</v>
      </c>
      <c r="L42" s="658" t="s">
        <v>1325</v>
      </c>
    </row>
    <row r="43" spans="1:12" ht="60">
      <c r="A43" s="799"/>
      <c r="B43" s="546" t="s">
        <v>1318</v>
      </c>
      <c r="C43" s="426" t="s">
        <v>540</v>
      </c>
      <c r="D43" s="546"/>
      <c r="E43" s="629">
        <f>IFERROR(VLOOKUP(B43,MODULY_CBA!$B$3:$O$23,14,0)*VLOOKUP('Rozpocet - Vyvoj aplikacii'!C43,EXTERNE_POZICIE!$A$4:$C$39,3,0),0)</f>
        <v>332.44749249892834</v>
      </c>
      <c r="F43" s="489">
        <f>IFERROR(VLOOKUP(C43,POZICIE_INTERNE!$A$4:$D$39,3,0)*VLOOKUP(B43,MODULY_CBA!$B$3:$J$23,9,0)/SUM(MODULY_CBA!$J$3:$J$23),)</f>
        <v>45.59279897128161</v>
      </c>
      <c r="G43" s="495">
        <f>IFERROR(IF(ISTEXT(B43),VLOOKUP(C43,POZICIE_INTERNE!$A$4:$D$39,4,0),),)</f>
        <v>312.72000000000003</v>
      </c>
      <c r="H43" s="496">
        <f>IF(ISTEXT(B43),VLOOKUP(C43,EXTERNE_POZICIE!$A$4:$E$39,5,0),)</f>
        <v>437.48</v>
      </c>
      <c r="I43" s="490">
        <f t="shared" si="0"/>
        <v>14257.780094299187</v>
      </c>
      <c r="J43" s="490">
        <f t="shared" si="1"/>
        <v>178890.12869267035</v>
      </c>
      <c r="K43" s="490">
        <f t="shared" si="3"/>
        <v>193147.90878696952</v>
      </c>
      <c r="L43" s="658" t="s">
        <v>1325</v>
      </c>
    </row>
    <row r="44" spans="1:12" ht="60">
      <c r="A44" s="799"/>
      <c r="B44" s="546" t="s">
        <v>1318</v>
      </c>
      <c r="C44" s="426" t="s">
        <v>264</v>
      </c>
      <c r="D44" s="546"/>
      <c r="E44" s="629">
        <f>IFERROR(VLOOKUP(B44,MODULY_CBA!$B$3:$O$23,14,0)*VLOOKUP('Rozpocet - Vyvoj aplikacii'!C44,EXTERNE_POZICIE!$A$4:$C$39,3,0),0)</f>
        <v>82.969395627946838</v>
      </c>
      <c r="F44" s="489">
        <f>IFERROR(VLOOKUP(C44,POZICIE_INTERNE!$A$4:$D$39,3,0)*VLOOKUP(B44,MODULY_CBA!$B$3:$J$23,9,0)/SUM(MODULY_CBA!$J$3:$J$23),)</f>
        <v>0</v>
      </c>
      <c r="G44" s="495">
        <f>IFERROR(IF(ISTEXT(B44),VLOOKUP(C44,POZICIE_INTERNE!$A$4:$D$39,4,0),),)</f>
        <v>0</v>
      </c>
      <c r="H44" s="496">
        <f>IF(ISTEXT(B44),VLOOKUP(C44,EXTERNE_POZICIE!$A$4:$E$39,5,0),)</f>
        <v>436.37321121923299</v>
      </c>
      <c r="I44" s="490">
        <f t="shared" si="0"/>
        <v>0</v>
      </c>
      <c r="J44" s="490">
        <f t="shared" si="1"/>
        <v>44532.914571795969</v>
      </c>
      <c r="K44" s="490">
        <f t="shared" si="3"/>
        <v>44532.914571795969</v>
      </c>
      <c r="L44" s="658" t="s">
        <v>1325</v>
      </c>
    </row>
    <row r="45" spans="1:12" ht="60">
      <c r="A45" s="799" t="s">
        <v>286</v>
      </c>
      <c r="B45" s="546" t="s">
        <v>1319</v>
      </c>
      <c r="C45" s="426" t="s">
        <v>263</v>
      </c>
      <c r="D45" s="546"/>
      <c r="E45" s="629">
        <f>IFERROR(VLOOKUP(B45,MODULY_CBA!$B$3:$O$23,14,0)*VLOOKUP('Rozpocet - Vyvoj aplikacii'!C45,EXTERNE_POZICIE!$A$4:$C$39,3,0),0)</f>
        <v>157.04037719674241</v>
      </c>
      <c r="F45" s="489">
        <f>IFERROR(VLOOKUP(C45,POZICIE_INTERNE!$A$4:$D$39,3,0)*VLOOKUP(B45,MODULY_CBA!$B$3:$J$23,9,0)/SUM(MODULY_CBA!$J$3:$J$23),)</f>
        <v>12.382340334333476</v>
      </c>
      <c r="G45" s="495">
        <f>IFERROR(IF(ISTEXT(B45),VLOOKUP(C45,POZICIE_INTERNE!$A$4:$D$39,4,0),),)</f>
        <v>312.72000000000003</v>
      </c>
      <c r="H45" s="496">
        <f>IF(ISTEXT(B45),VLOOKUP(C45,EXTERNE_POZICIE!$A$4:$E$39,5,0),)</f>
        <v>465.27905382242028</v>
      </c>
      <c r="I45" s="490">
        <f t="shared" si="0"/>
        <v>3872.2054693527648</v>
      </c>
      <c r="J45" s="490">
        <f t="shared" si="1"/>
        <v>89873.145680240035</v>
      </c>
      <c r="K45" s="490">
        <f t="shared" si="3"/>
        <v>93745.351149592796</v>
      </c>
      <c r="L45" s="658" t="s">
        <v>1325</v>
      </c>
    </row>
    <row r="46" spans="1:12" ht="60">
      <c r="A46" s="799"/>
      <c r="B46" s="546" t="s">
        <v>1319</v>
      </c>
      <c r="C46" s="426" t="s">
        <v>540</v>
      </c>
      <c r="D46" s="546"/>
      <c r="E46" s="629">
        <f>IFERROR(VLOOKUP(B46,MODULY_CBA!$B$3:$O$23,14,0)*VLOOKUP('Rozpocet - Vyvoj aplikacii'!C46,EXTERNE_POZICIE!$A$4:$C$39,3,0),0)</f>
        <v>376.85383626232317</v>
      </c>
      <c r="F46" s="489">
        <f>IFERROR(VLOOKUP(C46,POZICIE_INTERNE!$A$4:$D$39,3,0)*VLOOKUP(B46,MODULY_CBA!$B$3:$J$23,9,0)/SUM(MODULY_CBA!$J$3:$J$23),)</f>
        <v>51.682811830261464</v>
      </c>
      <c r="G46" s="495">
        <f>IFERROR(IF(ISTEXT(B46),VLOOKUP(C46,POZICIE_INTERNE!$A$4:$D$39,4,0),),)</f>
        <v>312.72000000000003</v>
      </c>
      <c r="H46" s="496">
        <f>IF(ISTEXT(B46),VLOOKUP(C46,EXTERNE_POZICIE!$A$4:$E$39,5,0),)</f>
        <v>437.48</v>
      </c>
      <c r="I46" s="490">
        <f t="shared" si="0"/>
        <v>16162.248915559367</v>
      </c>
      <c r="J46" s="490">
        <f t="shared" si="1"/>
        <v>202785.20003429058</v>
      </c>
      <c r="K46" s="490">
        <f t="shared" si="3"/>
        <v>218947.44894984996</v>
      </c>
      <c r="L46" s="658" t="s">
        <v>1325</v>
      </c>
    </row>
    <row r="47" spans="1:12" ht="60">
      <c r="A47" s="799"/>
      <c r="B47" s="546" t="s">
        <v>1319</v>
      </c>
      <c r="C47" s="426" t="s">
        <v>264</v>
      </c>
      <c r="D47" s="546"/>
      <c r="E47" s="629">
        <f>IFERROR(VLOOKUP(B47,MODULY_CBA!$B$3:$O$23,14,0)*VLOOKUP('Rozpocet - Vyvoj aplikacii'!C47,EXTERNE_POZICIE!$A$4:$C$39,3,0),0)</f>
        <v>94.051950278611216</v>
      </c>
      <c r="F47" s="489">
        <f>IFERROR(VLOOKUP(C47,POZICIE_INTERNE!$A$4:$D$39,3,0)*VLOOKUP(B47,MODULY_CBA!$B$3:$J$23,9,0)/SUM(MODULY_CBA!$J$3:$J$23),)</f>
        <v>0</v>
      </c>
      <c r="G47" s="495">
        <f>IFERROR(IF(ISTEXT(B47),VLOOKUP(C47,POZICIE_INTERNE!$A$4:$D$39,4,0),),)</f>
        <v>0</v>
      </c>
      <c r="H47" s="496">
        <f>IF(ISTEXT(B47),VLOOKUP(C47,EXTERNE_POZICIE!$A$4:$E$39,5,0),)</f>
        <v>436.37321121923299</v>
      </c>
      <c r="I47" s="490">
        <f t="shared" si="0"/>
        <v>0</v>
      </c>
      <c r="J47" s="490">
        <f t="shared" si="1"/>
        <v>50481.354424346333</v>
      </c>
      <c r="K47" s="490">
        <f t="shared" si="3"/>
        <v>50481.354424346333</v>
      </c>
      <c r="L47" s="658" t="s">
        <v>1325</v>
      </c>
    </row>
    <row r="48" spans="1:12" ht="60">
      <c r="A48" s="799" t="s">
        <v>287</v>
      </c>
      <c r="B48" s="546" t="s">
        <v>1320</v>
      </c>
      <c r="C48" s="426" t="s">
        <v>263</v>
      </c>
      <c r="D48" s="546"/>
      <c r="E48" s="629">
        <f>IFERROR(VLOOKUP(B48,MODULY_CBA!$B$3:$O$23,14,0)*VLOOKUP('Rozpocet - Vyvoj aplikacii'!C48,EXTERNE_POZICIE!$A$4:$C$39,3,0),0)</f>
        <v>147.78799828546937</v>
      </c>
      <c r="F48" s="489">
        <f>IFERROR(VLOOKUP(C48,POZICIE_INTERNE!$A$4:$D$39,3,0)*VLOOKUP(B48,MODULY_CBA!$B$3:$J$23,9,0)/SUM(MODULY_CBA!$J$3:$J$23),)</f>
        <v>11.652807543934848</v>
      </c>
      <c r="G48" s="495">
        <f>IFERROR(IF(ISTEXT(B48),VLOOKUP(C48,POZICIE_INTERNE!$A$4:$D$39,4,0),),)</f>
        <v>312.72000000000003</v>
      </c>
      <c r="H48" s="496">
        <f>IF(ISTEXT(B48),VLOOKUP(C48,EXTERNE_POZICIE!$A$4:$E$39,5,0),)</f>
        <v>465.27905382242028</v>
      </c>
      <c r="I48" s="490">
        <f t="shared" si="0"/>
        <v>3644.0659751393059</v>
      </c>
      <c r="J48" s="490">
        <f t="shared" si="1"/>
        <v>84578.071810544367</v>
      </c>
      <c r="K48" s="490">
        <f t="shared" si="3"/>
        <v>88222.137785683677</v>
      </c>
      <c r="L48" s="658" t="s">
        <v>1325</v>
      </c>
    </row>
    <row r="49" spans="1:12" ht="60">
      <c r="A49" s="799"/>
      <c r="B49" s="546" t="s">
        <v>1320</v>
      </c>
      <c r="C49" s="426" t="s">
        <v>540</v>
      </c>
      <c r="D49" s="546"/>
      <c r="E49" s="629">
        <f>IFERROR(VLOOKUP(B49,MODULY_CBA!$B$3:$O$23,14,0)*VLOOKUP('Rozpocet - Vyvoj aplikacii'!C49,EXTERNE_POZICIE!$A$4:$C$39,3,0),0)</f>
        <v>354.65066438062576</v>
      </c>
      <c r="F49" s="489">
        <f>IFERROR(VLOOKUP(C49,POZICIE_INTERNE!$A$4:$D$39,3,0)*VLOOKUP(B49,MODULY_CBA!$B$3:$J$23,9,0)/SUM(MODULY_CBA!$J$3:$J$23),)</f>
        <v>48.637805400771541</v>
      </c>
      <c r="G49" s="495">
        <f>IFERROR(IF(ISTEXT(B49),VLOOKUP(C49,POZICIE_INTERNE!$A$4:$D$39,4,0),),)</f>
        <v>312.72000000000003</v>
      </c>
      <c r="H49" s="496">
        <f>IF(ISTEXT(B49),VLOOKUP(C49,EXTERNE_POZICIE!$A$4:$E$39,5,0),)</f>
        <v>437.48</v>
      </c>
      <c r="I49" s="490">
        <f t="shared" si="0"/>
        <v>15210.014504929277</v>
      </c>
      <c r="J49" s="490">
        <f t="shared" si="1"/>
        <v>190837.66436348046</v>
      </c>
      <c r="K49" s="490">
        <f t="shared" si="3"/>
        <v>206047.67886840974</v>
      </c>
      <c r="L49" s="658" t="s">
        <v>1325</v>
      </c>
    </row>
    <row r="50" spans="1:12" ht="60">
      <c r="A50" s="800"/>
      <c r="B50" s="546" t="s">
        <v>1320</v>
      </c>
      <c r="C50" s="426" t="s">
        <v>264</v>
      </c>
      <c r="D50" s="546"/>
      <c r="E50" s="629">
        <f>IFERROR(VLOOKUP(B50,MODULY_CBA!$B$3:$O$23,14,0)*VLOOKUP('Rozpocet - Vyvoj aplikacii'!C50,EXTERNE_POZICIE!$A$4:$C$39,3,0),0)</f>
        <v>88.510672953279027</v>
      </c>
      <c r="F50" s="489">
        <f>IFERROR(VLOOKUP(C50,POZICIE_INTERNE!$A$4:$D$39,3,0)*VLOOKUP(B50,MODULY_CBA!$B$3:$J$23,9,0)/SUM(MODULY_CBA!$J$3:$J$23),)</f>
        <v>0</v>
      </c>
      <c r="G50" s="495">
        <f>IFERROR(IF(ISTEXT(B50),VLOOKUP(C50,POZICIE_INTERNE!$A$4:$D$39,4,0),),)</f>
        <v>0</v>
      </c>
      <c r="H50" s="496">
        <f>IF(ISTEXT(B50),VLOOKUP(C50,EXTERNE_POZICIE!$A$4:$E$39,5,0),)</f>
        <v>436.37321121923299</v>
      </c>
      <c r="I50" s="490">
        <f t="shared" si="0"/>
        <v>0</v>
      </c>
      <c r="J50" s="490">
        <f t="shared" si="1"/>
        <v>47507.134498071144</v>
      </c>
      <c r="K50" s="490">
        <f t="shared" si="3"/>
        <v>47507.134498071144</v>
      </c>
      <c r="L50" s="658" t="s">
        <v>1325</v>
      </c>
    </row>
    <row r="51" spans="1:12" ht="60">
      <c r="A51" s="801" t="s">
        <v>288</v>
      </c>
      <c r="B51" s="546" t="s">
        <v>1321</v>
      </c>
      <c r="C51" s="426" t="s">
        <v>263</v>
      </c>
      <c r="D51" s="546"/>
      <c r="E51" s="629">
        <f>IFERROR(VLOOKUP(B51,MODULY_CBA!$B$3:$O$23,14,0)*VLOOKUP('Rozpocet - Vyvoj aplikacii'!C51,EXTERNE_POZICIE!$A$4:$C$39,3,0),0)</f>
        <v>74.019031290184316</v>
      </c>
      <c r="F51" s="489">
        <f>IFERROR(VLOOKUP(C51,POZICIE_INTERNE!$A$4:$D$39,3,0)*VLOOKUP(B51,MODULY_CBA!$B$3:$J$23,9,0)/SUM(MODULY_CBA!$J$3:$J$23),)</f>
        <v>5.8362623231890272</v>
      </c>
      <c r="G51" s="495">
        <f>IFERROR(IF(ISTEXT(B51),VLOOKUP(C51,POZICIE_INTERNE!$A$4:$D$39,4,0),),)</f>
        <v>312.72000000000003</v>
      </c>
      <c r="H51" s="496">
        <f>IF(ISTEXT(B51),VLOOKUP(C51,EXTERNE_POZICIE!$A$4:$E$39,5,0),)</f>
        <v>465.27905382242028</v>
      </c>
      <c r="I51" s="490">
        <f t="shared" si="0"/>
        <v>1825.1159537076728</v>
      </c>
      <c r="J51" s="490">
        <f t="shared" si="1"/>
        <v>42360.590957565371</v>
      </c>
      <c r="K51" s="490">
        <f t="shared" si="3"/>
        <v>44185.706911273046</v>
      </c>
      <c r="L51" s="658" t="s">
        <v>1325</v>
      </c>
    </row>
    <row r="52" spans="1:12" ht="60">
      <c r="A52" s="799"/>
      <c r="B52" s="546" t="s">
        <v>1321</v>
      </c>
      <c r="C52" s="426" t="s">
        <v>540</v>
      </c>
      <c r="D52" s="546"/>
      <c r="E52" s="629">
        <f>IFERROR(VLOOKUP(B52,MODULY_CBA!$B$3:$O$23,14,0)*VLOOKUP('Rozpocet - Vyvoj aplikacii'!C52,EXTERNE_POZICIE!$A$4:$C$39,3,0),0)</f>
        <v>177.62537505357906</v>
      </c>
      <c r="F52" s="489">
        <f>IFERROR(VLOOKUP(C52,POZICIE_INTERNE!$A$4:$D$39,3,0)*VLOOKUP(B52,MODULY_CBA!$B$3:$J$23,9,0)/SUM(MODULY_CBA!$J$3:$J$23),)</f>
        <v>24.360051435919416</v>
      </c>
      <c r="G52" s="495">
        <f>IFERROR(IF(ISTEXT(B52),VLOOKUP(C52,POZICIE_INTERNE!$A$4:$D$39,4,0),),)</f>
        <v>312.72000000000003</v>
      </c>
      <c r="H52" s="496">
        <f>IF(ISTEXT(B52),VLOOKUP(C52,EXTERNE_POZICIE!$A$4:$E$39,5,0),)</f>
        <v>437.48</v>
      </c>
      <c r="I52" s="490">
        <f t="shared" si="0"/>
        <v>7617.8752850407209</v>
      </c>
      <c r="J52" s="490">
        <f t="shared" si="1"/>
        <v>95580.285366480923</v>
      </c>
      <c r="K52" s="490">
        <f t="shared" si="3"/>
        <v>103198.16065152164</v>
      </c>
      <c r="L52" s="658" t="s">
        <v>1325</v>
      </c>
    </row>
    <row r="53" spans="1:12" ht="60">
      <c r="A53" s="799"/>
      <c r="B53" s="546" t="s">
        <v>1321</v>
      </c>
      <c r="C53" s="426" t="s">
        <v>264</v>
      </c>
      <c r="D53" s="546"/>
      <c r="E53" s="629">
        <f>IFERROR(VLOOKUP(B53,MODULY_CBA!$B$3:$O$23,14,0)*VLOOKUP('Rozpocet - Vyvoj aplikacii'!C53,EXTERNE_POZICIE!$A$4:$C$39,3,0),0)</f>
        <v>44.330218602657517</v>
      </c>
      <c r="F53" s="489">
        <f>IFERROR(VLOOKUP(C53,POZICIE_INTERNE!$A$4:$D$39,3,0)*VLOOKUP(B53,MODULY_CBA!$B$3:$J$23,9,0)/SUM(MODULY_CBA!$J$3:$J$23),)</f>
        <v>0</v>
      </c>
      <c r="G53" s="495">
        <f>IFERROR(IF(ISTEXT(B53),VLOOKUP(C53,POZICIE_INTERNE!$A$4:$D$39,4,0),),)</f>
        <v>0</v>
      </c>
      <c r="H53" s="496">
        <f>IF(ISTEXT(B53),VLOOKUP(C53,EXTERNE_POZICIE!$A$4:$E$39,5,0),)</f>
        <v>436.37321121923299</v>
      </c>
      <c r="I53" s="490">
        <f t="shared" si="0"/>
        <v>0</v>
      </c>
      <c r="J53" s="490">
        <f t="shared" si="1"/>
        <v>23793.759410201455</v>
      </c>
      <c r="K53" s="490">
        <f t="shared" si="3"/>
        <v>23793.759410201455</v>
      </c>
      <c r="L53" s="658" t="s">
        <v>1325</v>
      </c>
    </row>
    <row r="54" spans="1:12" ht="60">
      <c r="A54" s="799" t="s">
        <v>289</v>
      </c>
      <c r="B54" s="546" t="s">
        <v>1322</v>
      </c>
      <c r="C54" s="426" t="s">
        <v>263</v>
      </c>
      <c r="D54" s="546"/>
      <c r="E54" s="629">
        <f>IFERROR(VLOOKUP(B54,MODULY_CBA!$B$3:$O$23,14,0)*VLOOKUP('Rozpocet - Vyvoj aplikacii'!C54,EXTERNE_POZICIE!$A$4:$C$39,3,0),0)</f>
        <v>129.28324046292329</v>
      </c>
      <c r="F54" s="489">
        <f>IFERROR(VLOOKUP(C54,POZICIE_INTERNE!$A$4:$D$39,3,0)*VLOOKUP(B54,MODULY_CBA!$B$3:$J$23,9,0)/SUM(MODULY_CBA!$J$3:$J$23),)</f>
        <v>10.19374196313759</v>
      </c>
      <c r="G54" s="495">
        <f>IFERROR(IF(ISTEXT(B54),VLOOKUP(C54,POZICIE_INTERNE!$A$4:$D$39,4,0),),)</f>
        <v>312.72000000000003</v>
      </c>
      <c r="H54" s="496">
        <f>IF(ISTEXT(B54),VLOOKUP(C54,EXTERNE_POZICIE!$A$4:$E$39,5,0),)</f>
        <v>465.27905382242028</v>
      </c>
      <c r="I54" s="490">
        <f t="shared" si="0"/>
        <v>3187.7869867123877</v>
      </c>
      <c r="J54" s="490">
        <f t="shared" si="1"/>
        <v>73987.924071153029</v>
      </c>
      <c r="K54" s="490">
        <f t="shared" si="3"/>
        <v>77175.71105786541</v>
      </c>
      <c r="L54" s="658" t="s">
        <v>1325</v>
      </c>
    </row>
    <row r="55" spans="1:12" ht="60">
      <c r="A55" s="799"/>
      <c r="B55" s="546" t="s">
        <v>1322</v>
      </c>
      <c r="C55" s="426" t="s">
        <v>540</v>
      </c>
      <c r="D55" s="546"/>
      <c r="E55" s="629">
        <f>IFERROR(VLOOKUP(B55,MODULY_CBA!$B$3:$O$23,14,0)*VLOOKUP('Rozpocet - Vyvoj aplikacii'!C55,EXTERNE_POZICIE!$A$4:$C$39,3,0),0)</f>
        <v>310.24432061723098</v>
      </c>
      <c r="F55" s="489">
        <f>IFERROR(VLOOKUP(C55,POZICIE_INTERNE!$A$4:$D$39,3,0)*VLOOKUP(B55,MODULY_CBA!$B$3:$J$23,9,0)/SUM(MODULY_CBA!$J$3:$J$23),)</f>
        <v>42.547792541791686</v>
      </c>
      <c r="G55" s="495">
        <f>IFERROR(IF(ISTEXT(B55),VLOOKUP(C55,POZICIE_INTERNE!$A$4:$D$39,4,0),),)</f>
        <v>312.72000000000003</v>
      </c>
      <c r="H55" s="496">
        <f>IF(ISTEXT(B55),VLOOKUP(C55,EXTERNE_POZICIE!$A$4:$E$39,5,0),)</f>
        <v>437.48</v>
      </c>
      <c r="I55" s="490">
        <f t="shared" si="0"/>
        <v>13305.545683669097</v>
      </c>
      <c r="J55" s="490">
        <f t="shared" si="1"/>
        <v>166942.59302186023</v>
      </c>
      <c r="K55" s="490">
        <f t="shared" si="3"/>
        <v>180248.13870552933</v>
      </c>
      <c r="L55" s="658" t="s">
        <v>1325</v>
      </c>
    </row>
    <row r="56" spans="1:12" ht="60">
      <c r="A56" s="799"/>
      <c r="B56" s="546" t="s">
        <v>1322</v>
      </c>
      <c r="C56" s="426" t="s">
        <v>264</v>
      </c>
      <c r="D56" s="546"/>
      <c r="E56" s="629">
        <f>IFERROR(VLOOKUP(B56,MODULY_CBA!$B$3:$O$23,14,0)*VLOOKUP('Rozpocet - Vyvoj aplikacii'!C56,EXTERNE_POZICIE!$A$4:$C$39,3,0),0)</f>
        <v>77.428118302614649</v>
      </c>
      <c r="F56" s="489">
        <f>IFERROR(VLOOKUP(C56,POZICIE_INTERNE!$A$4:$D$39,3,0)*VLOOKUP(B56,MODULY_CBA!$B$3:$J$23,9,0)/SUM(MODULY_CBA!$J$3:$J$23),)</f>
        <v>0</v>
      </c>
      <c r="G56" s="495">
        <f>IFERROR(IF(ISTEXT(B56),VLOOKUP(C56,POZICIE_INTERNE!$A$4:$D$39,4,0),),)</f>
        <v>0</v>
      </c>
      <c r="H56" s="496">
        <f>IF(ISTEXT(B56),VLOOKUP(C56,EXTERNE_POZICIE!$A$4:$E$39,5,0),)</f>
        <v>436.37321121923299</v>
      </c>
      <c r="I56" s="490">
        <f t="shared" si="0"/>
        <v>0</v>
      </c>
      <c r="J56" s="490">
        <f t="shared" si="1"/>
        <v>41558.69464552078</v>
      </c>
      <c r="K56" s="490">
        <f t="shared" si="3"/>
        <v>41558.69464552078</v>
      </c>
      <c r="L56" s="658" t="s">
        <v>1325</v>
      </c>
    </row>
    <row r="57" spans="1:12" ht="60">
      <c r="A57" s="799" t="s">
        <v>290</v>
      </c>
      <c r="B57" s="546" t="s">
        <v>839</v>
      </c>
      <c r="C57" s="426" t="s">
        <v>263</v>
      </c>
      <c r="D57" s="546"/>
      <c r="E57" s="629">
        <f>IFERROR(VLOOKUP(B57,MODULY_CBA!$B$3:$O$23,14,0)*VLOOKUP('Rozpocet - Vyvoj aplikacii'!C57,EXTERNE_POZICIE!$A$4:$C$39,3,0),0)</f>
        <v>147.78799828546937</v>
      </c>
      <c r="F57" s="489">
        <f>IFERROR(VLOOKUP(C57,POZICIE_INTERNE!$A$4:$D$39,3,0)*VLOOKUP(B57,MODULY_CBA!$B$3:$J$23,9,0)/SUM(MODULY_CBA!$J$3:$J$23),)</f>
        <v>11.652807543934848</v>
      </c>
      <c r="G57" s="495">
        <f>IFERROR(IF(ISTEXT(B57),VLOOKUP(C57,POZICIE_INTERNE!$A$4:$D$39,4,0),),)</f>
        <v>312.72000000000003</v>
      </c>
      <c r="H57" s="496">
        <f>IF(ISTEXT(B57),VLOOKUP(C57,EXTERNE_POZICIE!$A$4:$E$39,5,0),)</f>
        <v>465.27905382242028</v>
      </c>
      <c r="I57" s="490">
        <f t="shared" si="0"/>
        <v>3644.0659751393059</v>
      </c>
      <c r="J57" s="490">
        <f t="shared" si="1"/>
        <v>84578.071810544367</v>
      </c>
      <c r="K57" s="490">
        <f t="shared" si="3"/>
        <v>88222.137785683677</v>
      </c>
      <c r="L57" s="658" t="s">
        <v>1325</v>
      </c>
    </row>
    <row r="58" spans="1:12" ht="60">
      <c r="A58" s="799"/>
      <c r="B58" s="546" t="s">
        <v>839</v>
      </c>
      <c r="C58" s="426" t="s">
        <v>540</v>
      </c>
      <c r="D58" s="546"/>
      <c r="E58" s="629">
        <f>IFERROR(VLOOKUP(B58,MODULY_CBA!$B$3:$O$23,14,0)*VLOOKUP('Rozpocet - Vyvoj aplikacii'!C58,EXTERNE_POZICIE!$A$4:$C$39,3,0),0)</f>
        <v>354.65066438062576</v>
      </c>
      <c r="F58" s="489">
        <f>IFERROR(VLOOKUP(C58,POZICIE_INTERNE!$A$4:$D$39,3,0)*VLOOKUP(B58,MODULY_CBA!$B$3:$J$23,9,0)/SUM(MODULY_CBA!$J$3:$J$23),)</f>
        <v>48.637805400771541</v>
      </c>
      <c r="G58" s="495">
        <f>IFERROR(IF(ISTEXT(B58),VLOOKUP(C58,POZICIE_INTERNE!$A$4:$D$39,4,0),),)</f>
        <v>312.72000000000003</v>
      </c>
      <c r="H58" s="496">
        <f>IF(ISTEXT(B58),VLOOKUP(C58,EXTERNE_POZICIE!$A$4:$E$39,5,0),)</f>
        <v>437.48</v>
      </c>
      <c r="I58" s="490">
        <f t="shared" si="0"/>
        <v>15210.014504929277</v>
      </c>
      <c r="J58" s="490">
        <f t="shared" si="1"/>
        <v>190837.66436348046</v>
      </c>
      <c r="K58" s="490">
        <f t="shared" si="3"/>
        <v>206047.67886840974</v>
      </c>
      <c r="L58" s="658" t="s">
        <v>1325</v>
      </c>
    </row>
    <row r="59" spans="1:12" ht="60">
      <c r="A59" s="799"/>
      <c r="B59" s="546" t="s">
        <v>839</v>
      </c>
      <c r="C59" s="426" t="s">
        <v>264</v>
      </c>
      <c r="D59" s="546"/>
      <c r="E59" s="629">
        <f>IFERROR(VLOOKUP(B59,MODULY_CBA!$B$3:$O$23,14,0)*VLOOKUP('Rozpocet - Vyvoj aplikacii'!C59,EXTERNE_POZICIE!$A$4:$C$39,3,0),0)</f>
        <v>88.510672953279027</v>
      </c>
      <c r="F59" s="489">
        <f>IFERROR(VLOOKUP(C59,POZICIE_INTERNE!$A$4:$D$39,3,0)*VLOOKUP(B59,MODULY_CBA!$B$3:$J$23,9,0)/SUM(MODULY_CBA!$J$3:$J$23),)</f>
        <v>0</v>
      </c>
      <c r="G59" s="495">
        <f>IFERROR(IF(ISTEXT(B59),VLOOKUP(C59,POZICIE_INTERNE!$A$4:$D$39,4,0),),)</f>
        <v>0</v>
      </c>
      <c r="H59" s="496">
        <f>IF(ISTEXT(B59),VLOOKUP(C59,EXTERNE_POZICIE!$A$4:$E$39,5,0),)</f>
        <v>436.37321121923299</v>
      </c>
      <c r="I59" s="490">
        <f t="shared" si="0"/>
        <v>0</v>
      </c>
      <c r="J59" s="490">
        <f t="shared" si="1"/>
        <v>47507.134498071144</v>
      </c>
      <c r="K59" s="490">
        <f t="shared" si="3"/>
        <v>47507.134498071144</v>
      </c>
      <c r="L59" s="658" t="s">
        <v>1325</v>
      </c>
    </row>
    <row r="60" spans="1:12" ht="60">
      <c r="A60" s="799" t="s">
        <v>291</v>
      </c>
      <c r="B60" s="546" t="s">
        <v>1323</v>
      </c>
      <c r="C60" s="426" t="s">
        <v>263</v>
      </c>
      <c r="D60" s="546"/>
      <c r="E60" s="629">
        <f>IFERROR(VLOOKUP(B60,MODULY_CBA!$B$3:$O$23,14,0)*VLOOKUP('Rozpocet - Vyvoj aplikacii'!C60,EXTERNE_POZICIE!$A$4:$C$39,3,0),0)</f>
        <v>55.51427346763824</v>
      </c>
      <c r="F60" s="489">
        <f>IFERROR(VLOOKUP(C60,POZICIE_INTERNE!$A$4:$D$39,3,0)*VLOOKUP(B60,MODULY_CBA!$B$3:$J$23,9,0)/SUM(MODULY_CBA!$J$3:$J$23),)</f>
        <v>4.3771967423917699</v>
      </c>
      <c r="G60" s="495">
        <f>IFERROR(IF(ISTEXT(B60),VLOOKUP(C60,POZICIE_INTERNE!$A$4:$D$39,4,0),),)</f>
        <v>312.72000000000003</v>
      </c>
      <c r="H60" s="496">
        <f>IF(ISTEXT(B60),VLOOKUP(C60,EXTERNE_POZICIE!$A$4:$E$39,5,0),)</f>
        <v>465.27905382242028</v>
      </c>
      <c r="I60" s="490">
        <f t="shared" si="0"/>
        <v>1368.8369652807544</v>
      </c>
      <c r="J60" s="490">
        <f t="shared" si="1"/>
        <v>31770.443218174027</v>
      </c>
      <c r="K60" s="490">
        <f t="shared" si="3"/>
        <v>33139.280183454779</v>
      </c>
      <c r="L60" s="658" t="s">
        <v>1325</v>
      </c>
    </row>
    <row r="61" spans="1:12" ht="60">
      <c r="A61" s="799"/>
      <c r="B61" s="546" t="s">
        <v>1323</v>
      </c>
      <c r="C61" s="426" t="s">
        <v>540</v>
      </c>
      <c r="D61" s="546"/>
      <c r="E61" s="629">
        <f>IFERROR(VLOOKUP(B61,MODULY_CBA!$B$3:$O$23,14,0)*VLOOKUP('Rozpocet - Vyvoj aplikacii'!C61,EXTERNE_POZICIE!$A$4:$C$39,3,0),0)</f>
        <v>133.21903129018429</v>
      </c>
      <c r="F61" s="489">
        <f>IFERROR(VLOOKUP(C61,POZICIE_INTERNE!$A$4:$D$39,3,0)*VLOOKUP(B61,MODULY_CBA!$B$3:$J$23,9,0)/SUM(MODULY_CBA!$J$3:$J$23),)</f>
        <v>18.270038576939562</v>
      </c>
      <c r="G61" s="495">
        <f>IFERROR(IF(ISTEXT(B61),VLOOKUP(C61,POZICIE_INTERNE!$A$4:$D$39,4,0),),)</f>
        <v>312.72000000000003</v>
      </c>
      <c r="H61" s="496">
        <f>IF(ISTEXT(B61),VLOOKUP(C61,EXTERNE_POZICIE!$A$4:$E$39,5,0),)</f>
        <v>437.48</v>
      </c>
      <c r="I61" s="490">
        <f t="shared" si="0"/>
        <v>5713.4064637805404</v>
      </c>
      <c r="J61" s="490">
        <f t="shared" si="1"/>
        <v>71685.214024860688</v>
      </c>
      <c r="K61" s="490">
        <f t="shared" si="3"/>
        <v>77398.620488641231</v>
      </c>
      <c r="L61" s="658" t="s">
        <v>1325</v>
      </c>
    </row>
    <row r="62" spans="1:12" ht="60">
      <c r="A62" s="800"/>
      <c r="B62" s="546" t="s">
        <v>1323</v>
      </c>
      <c r="C62" s="426" t="s">
        <v>264</v>
      </c>
      <c r="D62" s="546"/>
      <c r="E62" s="629">
        <f>IFERROR(VLOOKUP(B62,MODULY_CBA!$B$3:$O$23,14,0)*VLOOKUP('Rozpocet - Vyvoj aplikacii'!C62,EXTERNE_POZICIE!$A$4:$C$39,3,0),0)</f>
        <v>33.24766395199314</v>
      </c>
      <c r="F62" s="489">
        <f>IFERROR(VLOOKUP(C62,POZICIE_INTERNE!$A$4:$D$39,3,0)*VLOOKUP(B62,MODULY_CBA!$B$3:$J$23,9,0)/SUM(MODULY_CBA!$J$3:$J$23),)</f>
        <v>0</v>
      </c>
      <c r="G62" s="495">
        <f>IFERROR(IF(ISTEXT(B62),VLOOKUP(C62,POZICIE_INTERNE!$A$4:$D$39,4,0),),)</f>
        <v>0</v>
      </c>
      <c r="H62" s="496">
        <f>IF(ISTEXT(B62),VLOOKUP(C62,EXTERNE_POZICIE!$A$4:$E$39,5,0),)</f>
        <v>436.37321121923299</v>
      </c>
      <c r="I62" s="490">
        <f t="shared" si="0"/>
        <v>0</v>
      </c>
      <c r="J62" s="490">
        <f t="shared" si="1"/>
        <v>17845.319557651092</v>
      </c>
      <c r="K62" s="490">
        <f t="shared" si="3"/>
        <v>17845.319557651092</v>
      </c>
      <c r="L62" s="658" t="s">
        <v>1325</v>
      </c>
    </row>
    <row r="63" spans="1:12">
      <c r="A63" s="801" t="s">
        <v>292</v>
      </c>
      <c r="B63" s="546"/>
      <c r="C63" s="426" t="s">
        <v>263</v>
      </c>
      <c r="D63" s="546"/>
      <c r="E63" s="629">
        <f>IFERROR(VLOOKUP(B63,MODULY_CBA!$B$3:$O$23,14,0)*VLOOKUP('Rozpocet - Vyvoj aplikacii'!C63,EXTERNE_POZICIE!$A$4:$C$39,3,0),0)</f>
        <v>0</v>
      </c>
      <c r="F63" s="489">
        <f>IFERROR(VLOOKUP(C63,POZICIE_INTERNE!$A$4:$D$39,3,0)*VLOOKUP(B63,MODULY_CBA!$B$3:$J$23,9,0)/SUM(MODULY_CBA!$J$3:$J$23),)</f>
        <v>0</v>
      </c>
      <c r="G63" s="495">
        <f>IFERROR(IF(ISTEXT(B63),VLOOKUP(C63,POZICIE_INTERNE!$A$4:$D$39,4,0),),)</f>
        <v>0</v>
      </c>
      <c r="H63" s="496">
        <f>IF(ISTEXT(B63),VLOOKUP(C63,EXTERNE_POZICIE!$A$4:$E$39,5,0),)</f>
        <v>0</v>
      </c>
      <c r="I63" s="490">
        <f t="shared" si="0"/>
        <v>0</v>
      </c>
      <c r="J63" s="490">
        <f t="shared" si="1"/>
        <v>0</v>
      </c>
      <c r="K63" s="490">
        <f t="shared" si="3"/>
        <v>0</v>
      </c>
      <c r="L63" s="547"/>
    </row>
    <row r="64" spans="1:12">
      <c r="A64" s="799"/>
      <c r="B64" s="546"/>
      <c r="C64" s="426" t="s">
        <v>540</v>
      </c>
      <c r="D64" s="546"/>
      <c r="E64" s="629">
        <f>IFERROR(VLOOKUP(B64,MODULY_CBA!$B$3:$O$23,14,0)*VLOOKUP('Rozpocet - Vyvoj aplikacii'!C64,EXTERNE_POZICIE!$A$4:$C$39,3,0),0)</f>
        <v>0</v>
      </c>
      <c r="F64" s="489">
        <f>IFERROR(VLOOKUP(C64,POZICIE_INTERNE!$A$4:$D$39,3,0)*VLOOKUP(B64,MODULY_CBA!$B$3:$J$23,9,0)/SUM(MODULY_CBA!$J$3:$J$23),)</f>
        <v>0</v>
      </c>
      <c r="G64" s="495">
        <f>IFERROR(IF(ISTEXT(B64),VLOOKUP(C64,POZICIE_INTERNE!$A$4:$D$39,4,0),),)</f>
        <v>0</v>
      </c>
      <c r="H64" s="496">
        <f>IF(ISTEXT(B64),VLOOKUP(C64,EXTERNE_POZICIE!$A$4:$E$39,5,0),)</f>
        <v>0</v>
      </c>
      <c r="I64" s="490">
        <f t="shared" si="0"/>
        <v>0</v>
      </c>
      <c r="J64" s="490">
        <f t="shared" si="1"/>
        <v>0</v>
      </c>
      <c r="K64" s="490">
        <f t="shared" si="3"/>
        <v>0</v>
      </c>
      <c r="L64" s="547"/>
    </row>
    <row r="65" spans="1:12">
      <c r="A65" s="799"/>
      <c r="B65" s="546"/>
      <c r="C65" s="426" t="s">
        <v>264</v>
      </c>
      <c r="D65" s="546"/>
      <c r="E65" s="629">
        <f>IFERROR(VLOOKUP(B65,MODULY_CBA!$B$3:$O$23,14,0)*VLOOKUP('Rozpocet - Vyvoj aplikacii'!C65,EXTERNE_POZICIE!$A$4:$C$39,3,0),0)</f>
        <v>0</v>
      </c>
      <c r="F65" s="489">
        <f>IFERROR(VLOOKUP(C65,POZICIE_INTERNE!$A$4:$D$39,3,0)*VLOOKUP(B65,MODULY_CBA!$B$3:$J$23,9,0)/SUM(MODULY_CBA!$J$3:$J$23),)</f>
        <v>0</v>
      </c>
      <c r="G65" s="495">
        <f>IFERROR(IF(ISTEXT(B65),VLOOKUP(C65,POZICIE_INTERNE!$A$4:$D$39,4,0),),)</f>
        <v>0</v>
      </c>
      <c r="H65" s="496">
        <f>IF(ISTEXT(B65),VLOOKUP(C65,EXTERNE_POZICIE!$A$4:$E$39,5,0),)</f>
        <v>0</v>
      </c>
      <c r="I65" s="490">
        <f t="shared" si="0"/>
        <v>0</v>
      </c>
      <c r="J65" s="490">
        <f t="shared" si="1"/>
        <v>0</v>
      </c>
      <c r="K65" s="490">
        <f t="shared" si="3"/>
        <v>0</v>
      </c>
      <c r="L65" s="547"/>
    </row>
  </sheetData>
  <autoFilter ref="B2:L65" xr:uid="{00000000-0009-0000-0000-000011000000}"/>
  <mergeCells count="22">
    <mergeCell ref="A63:A65"/>
    <mergeCell ref="A48:A50"/>
    <mergeCell ref="A51:A53"/>
    <mergeCell ref="A54:A56"/>
    <mergeCell ref="A57:A59"/>
    <mergeCell ref="A60:A62"/>
    <mergeCell ref="A45:A47"/>
    <mergeCell ref="A3:A5"/>
    <mergeCell ref="A6:A8"/>
    <mergeCell ref="A9:A11"/>
    <mergeCell ref="A12:A14"/>
    <mergeCell ref="A15:A17"/>
    <mergeCell ref="A18:A20"/>
    <mergeCell ref="A21:A23"/>
    <mergeCell ref="A24:A26"/>
    <mergeCell ref="A27:A29"/>
    <mergeCell ref="A30:A32"/>
    <mergeCell ref="A1:D1"/>
    <mergeCell ref="A33:A35"/>
    <mergeCell ref="A36:A38"/>
    <mergeCell ref="A39:A41"/>
    <mergeCell ref="A42:A44"/>
  </mergeCells>
  <phoneticPr fontId="58" type="noConversion"/>
  <dataValidations count="1">
    <dataValidation type="list" allowBlank="1" showInputMessage="1" showErrorMessage="1" sqref="B3:B65" xr:uid="{00000000-0002-0000-1100-000000000000}">
      <formula1>MODULY</formula1>
    </dataValidation>
  </dataValidations>
  <pageMargins left="0.7" right="0.7" top="0.75" bottom="0.75" header="0.3" footer="0.3"/>
  <pageSetup paperSize="9" scale="1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O31"/>
  <sheetViews>
    <sheetView topLeftCell="A22" workbookViewId="0">
      <selection activeCell="F10" sqref="F10:F31"/>
    </sheetView>
  </sheetViews>
  <sheetFormatPr defaultColWidth="8.85546875" defaultRowHeight="15"/>
  <cols>
    <col min="1" max="11" width="18.140625" style="470" customWidth="1"/>
    <col min="12" max="12" width="26.140625" style="470" customWidth="1"/>
    <col min="13" max="15" width="24.42578125" style="470" customWidth="1"/>
    <col min="16" max="16384" width="8.85546875" style="365"/>
  </cols>
  <sheetData>
    <row r="1" spans="1:12" ht="30">
      <c r="A1" s="470" t="s">
        <v>705</v>
      </c>
      <c r="B1" s="470" t="s">
        <v>706</v>
      </c>
      <c r="C1" s="470" t="s">
        <v>707</v>
      </c>
      <c r="D1" s="470" t="s">
        <v>708</v>
      </c>
      <c r="E1" s="470" t="s">
        <v>709</v>
      </c>
      <c r="F1" s="470" t="s">
        <v>710</v>
      </c>
      <c r="G1" s="470" t="s">
        <v>711</v>
      </c>
      <c r="H1" s="470" t="s">
        <v>712</v>
      </c>
      <c r="I1" s="470" t="s">
        <v>713</v>
      </c>
      <c r="J1" s="470" t="s">
        <v>714</v>
      </c>
      <c r="K1" s="470" t="s">
        <v>715</v>
      </c>
      <c r="L1" s="470" t="s">
        <v>716</v>
      </c>
    </row>
    <row r="2" spans="1:12" ht="75">
      <c r="A2" s="470" t="s">
        <v>684</v>
      </c>
      <c r="B2" s="470" t="s">
        <v>685</v>
      </c>
      <c r="C2" s="470" t="s">
        <v>687</v>
      </c>
      <c r="D2" s="470" t="s">
        <v>688</v>
      </c>
      <c r="E2" s="470" t="s">
        <v>690</v>
      </c>
      <c r="F2" s="470" t="s">
        <v>401</v>
      </c>
      <c r="G2" s="470" t="s">
        <v>691</v>
      </c>
      <c r="H2" s="470" t="s">
        <v>689</v>
      </c>
      <c r="I2" s="470" t="s">
        <v>682</v>
      </c>
      <c r="J2" s="470" t="s">
        <v>694</v>
      </c>
      <c r="L2" s="470" t="s">
        <v>697</v>
      </c>
    </row>
    <row r="3" spans="1:12" ht="60">
      <c r="B3" s="470" t="s">
        <v>686</v>
      </c>
      <c r="D3" s="470" t="s">
        <v>689</v>
      </c>
      <c r="H3" s="470" t="s">
        <v>692</v>
      </c>
      <c r="J3" s="470" t="s">
        <v>693</v>
      </c>
      <c r="L3" s="470" t="s">
        <v>702</v>
      </c>
    </row>
    <row r="4" spans="1:12" ht="30">
      <c r="L4" s="470" t="s">
        <v>698</v>
      </c>
    </row>
    <row r="5" spans="1:12" ht="30">
      <c r="L5" s="470" t="s">
        <v>703</v>
      </c>
    </row>
    <row r="6" spans="1:12" ht="30">
      <c r="L6" s="470" t="s">
        <v>699</v>
      </c>
    </row>
    <row r="7" spans="1:12" ht="30">
      <c r="L7" s="470" t="s">
        <v>700</v>
      </c>
    </row>
    <row r="8" spans="1:12">
      <c r="L8" s="470" t="s">
        <v>701</v>
      </c>
    </row>
    <row r="9" spans="1:12">
      <c r="A9" s="470" t="s">
        <v>718</v>
      </c>
      <c r="B9" s="470" t="s">
        <v>719</v>
      </c>
      <c r="D9" s="365" t="s">
        <v>678</v>
      </c>
      <c r="E9" s="365" t="s">
        <v>720</v>
      </c>
      <c r="F9" s="470" t="s">
        <v>721</v>
      </c>
    </row>
    <row r="10" spans="1:12" ht="30">
      <c r="A10" s="618" t="s">
        <v>403</v>
      </c>
      <c r="B10" s="470" t="s">
        <v>705</v>
      </c>
      <c r="D10" s="619" t="s">
        <v>429</v>
      </c>
      <c r="E10" s="470" t="s">
        <v>684</v>
      </c>
      <c r="F10" s="622">
        <v>1330001</v>
      </c>
    </row>
    <row r="11" spans="1:12" ht="30">
      <c r="A11" s="618" t="s">
        <v>402</v>
      </c>
      <c r="B11" s="470" t="s">
        <v>706</v>
      </c>
      <c r="D11" s="620" t="s">
        <v>679</v>
      </c>
      <c r="E11" s="470" t="s">
        <v>685</v>
      </c>
      <c r="F11" s="623">
        <v>2512001</v>
      </c>
    </row>
    <row r="12" spans="1:12" ht="30">
      <c r="A12" s="618" t="s">
        <v>404</v>
      </c>
      <c r="B12" s="470" t="s">
        <v>707</v>
      </c>
      <c r="D12" s="620" t="s">
        <v>679</v>
      </c>
      <c r="E12" s="470" t="s">
        <v>686</v>
      </c>
      <c r="F12" s="623">
        <v>2512002</v>
      </c>
    </row>
    <row r="13" spans="1:12">
      <c r="A13" s="618" t="s">
        <v>400</v>
      </c>
      <c r="B13" s="470" t="s">
        <v>708</v>
      </c>
      <c r="D13" s="620" t="s">
        <v>404</v>
      </c>
      <c r="E13" s="470" t="s">
        <v>687</v>
      </c>
      <c r="F13" s="623">
        <v>2511003</v>
      </c>
    </row>
    <row r="14" spans="1:12" ht="38.25">
      <c r="A14" s="618" t="s">
        <v>405</v>
      </c>
      <c r="B14" s="470" t="s">
        <v>709</v>
      </c>
      <c r="D14" s="620" t="s">
        <v>400</v>
      </c>
      <c r="E14" s="470" t="s">
        <v>688</v>
      </c>
      <c r="F14" s="623">
        <v>2511002</v>
      </c>
    </row>
    <row r="15" spans="1:12" ht="30">
      <c r="A15" s="618" t="s">
        <v>401</v>
      </c>
      <c r="B15" s="470" t="s">
        <v>710</v>
      </c>
      <c r="D15" s="620" t="s">
        <v>400</v>
      </c>
      <c r="E15" s="470" t="s">
        <v>689</v>
      </c>
      <c r="F15" s="623">
        <v>2521001</v>
      </c>
    </row>
    <row r="16" spans="1:12" ht="38.25">
      <c r="A16" s="618" t="s">
        <v>407</v>
      </c>
      <c r="B16" s="470" t="s">
        <v>711</v>
      </c>
      <c r="D16" s="619" t="s">
        <v>405</v>
      </c>
      <c r="E16" s="470" t="s">
        <v>690</v>
      </c>
      <c r="F16" s="623">
        <v>2421002</v>
      </c>
    </row>
    <row r="17" spans="1:6" ht="25.5">
      <c r="A17" s="618" t="s">
        <v>408</v>
      </c>
      <c r="B17" s="470" t="s">
        <v>712</v>
      </c>
      <c r="D17" s="619" t="s">
        <v>401</v>
      </c>
      <c r="E17" s="470" t="s">
        <v>401</v>
      </c>
      <c r="F17" s="623">
        <v>2519001</v>
      </c>
    </row>
    <row r="18" spans="1:6" ht="75">
      <c r="A18" s="618" t="s">
        <v>410</v>
      </c>
      <c r="B18" s="470" t="s">
        <v>713</v>
      </c>
      <c r="D18" s="619" t="s">
        <v>680</v>
      </c>
      <c r="E18" s="470" t="s">
        <v>694</v>
      </c>
      <c r="F18" s="623">
        <v>1330004</v>
      </c>
    </row>
    <row r="19" spans="1:6" ht="30">
      <c r="A19" s="618" t="s">
        <v>406</v>
      </c>
      <c r="B19" s="470" t="s">
        <v>714</v>
      </c>
      <c r="D19" s="620" t="s">
        <v>681</v>
      </c>
      <c r="E19" s="470" t="s">
        <v>691</v>
      </c>
      <c r="F19" s="623">
        <v>2523000</v>
      </c>
    </row>
    <row r="20" spans="1:6" ht="30">
      <c r="A20" s="618" t="s">
        <v>409</v>
      </c>
      <c r="B20" s="470" t="s">
        <v>715</v>
      </c>
      <c r="D20" s="620" t="s">
        <v>408</v>
      </c>
      <c r="E20" s="470" t="s">
        <v>689</v>
      </c>
      <c r="F20" s="623">
        <v>2521001</v>
      </c>
    </row>
    <row r="21" spans="1:6" ht="30">
      <c r="A21" s="618" t="s">
        <v>411</v>
      </c>
      <c r="B21" s="470" t="s">
        <v>716</v>
      </c>
      <c r="D21" s="620" t="s">
        <v>408</v>
      </c>
      <c r="E21" s="470" t="s">
        <v>692</v>
      </c>
      <c r="F21" s="623">
        <v>2521003</v>
      </c>
    </row>
    <row r="22" spans="1:6">
      <c r="D22" s="621" t="s">
        <v>682</v>
      </c>
      <c r="E22" s="470" t="s">
        <v>682</v>
      </c>
      <c r="F22" s="623">
        <v>2511001</v>
      </c>
    </row>
    <row r="23" spans="1:6" ht="60">
      <c r="D23" s="620" t="s">
        <v>683</v>
      </c>
      <c r="E23" s="470" t="s">
        <v>693</v>
      </c>
      <c r="F23" s="623">
        <v>2529001</v>
      </c>
    </row>
    <row r="24" spans="1:6">
      <c r="D24" s="621" t="s">
        <v>409</v>
      </c>
      <c r="F24" s="372"/>
    </row>
    <row r="25" spans="1:6" ht="30">
      <c r="D25" s="620" t="s">
        <v>717</v>
      </c>
      <c r="E25" s="470" t="s">
        <v>697</v>
      </c>
      <c r="F25" s="623">
        <v>7422003</v>
      </c>
    </row>
    <row r="26" spans="1:6" ht="75">
      <c r="D26" s="620" t="s">
        <v>717</v>
      </c>
      <c r="E26" s="470" t="s">
        <v>702</v>
      </c>
      <c r="F26" s="623">
        <v>2153003</v>
      </c>
    </row>
    <row r="27" spans="1:6" ht="60">
      <c r="D27" s="620" t="s">
        <v>717</v>
      </c>
      <c r="E27" s="470" t="s">
        <v>698</v>
      </c>
      <c r="F27" s="623">
        <v>2513003</v>
      </c>
    </row>
    <row r="28" spans="1:6" ht="60">
      <c r="D28" s="620" t="s">
        <v>717</v>
      </c>
      <c r="E28" s="470" t="s">
        <v>703</v>
      </c>
      <c r="F28" s="623">
        <v>4229</v>
      </c>
    </row>
    <row r="29" spans="1:6" ht="30">
      <c r="D29" s="620" t="s">
        <v>717</v>
      </c>
      <c r="E29" s="470" t="s">
        <v>699</v>
      </c>
      <c r="F29" s="372">
        <v>3511002</v>
      </c>
    </row>
    <row r="30" spans="1:6" ht="45">
      <c r="D30" s="620" t="s">
        <v>717</v>
      </c>
      <c r="E30" s="470" t="s">
        <v>700</v>
      </c>
      <c r="F30" s="372">
        <v>3512000</v>
      </c>
    </row>
    <row r="31" spans="1:6" ht="30">
      <c r="D31" s="620" t="s">
        <v>717</v>
      </c>
      <c r="E31" s="470" t="s">
        <v>701</v>
      </c>
      <c r="F31" s="372">
        <v>2514000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0"/>
  <sheetViews>
    <sheetView workbookViewId="0">
      <selection activeCell="D2" sqref="D2"/>
    </sheetView>
  </sheetViews>
  <sheetFormatPr defaultColWidth="8.85546875" defaultRowHeight="15"/>
  <cols>
    <col min="1" max="1" width="25.42578125" customWidth="1"/>
    <col min="2" max="2" width="79" bestFit="1" customWidth="1"/>
    <col min="3" max="3" width="13.28515625" customWidth="1"/>
    <col min="4" max="4" width="70" bestFit="1" customWidth="1"/>
  </cols>
  <sheetData>
    <row r="1" spans="1:4" ht="19.5" thickBot="1">
      <c r="A1" s="228" t="s">
        <v>213</v>
      </c>
      <c r="D1" s="632" t="s">
        <v>786</v>
      </c>
    </row>
    <row r="2" spans="1:4" ht="15.75" thickBot="1">
      <c r="A2" s="229" t="s">
        <v>217</v>
      </c>
      <c r="B2" s="230" t="s">
        <v>218</v>
      </c>
      <c r="C2" s="515" t="s">
        <v>504</v>
      </c>
      <c r="D2" s="231" t="s">
        <v>223</v>
      </c>
    </row>
    <row r="3" spans="1:4">
      <c r="A3" s="513" t="s">
        <v>502</v>
      </c>
      <c r="B3" s="232" t="s">
        <v>503</v>
      </c>
      <c r="C3" s="516"/>
      <c r="D3" s="196" t="s">
        <v>226</v>
      </c>
    </row>
    <row r="4" spans="1:4">
      <c r="A4" s="513" t="s">
        <v>214</v>
      </c>
      <c r="B4" s="232" t="s">
        <v>220</v>
      </c>
      <c r="C4" s="517"/>
      <c r="D4" s="196" t="s">
        <v>219</v>
      </c>
    </row>
    <row r="5" spans="1:4">
      <c r="A5" s="513" t="s">
        <v>474</v>
      </c>
      <c r="B5" s="232" t="s">
        <v>501</v>
      </c>
      <c r="C5" s="517"/>
      <c r="D5" s="194" t="s">
        <v>505</v>
      </c>
    </row>
    <row r="6" spans="1:4">
      <c r="A6" s="514" t="s">
        <v>473</v>
      </c>
      <c r="B6" s="233" t="s">
        <v>221</v>
      </c>
      <c r="C6" s="518"/>
      <c r="D6" s="234" t="s">
        <v>222</v>
      </c>
    </row>
    <row r="7" spans="1:4">
      <c r="A7" s="514" t="s">
        <v>475</v>
      </c>
      <c r="B7" s="233" t="s">
        <v>224</v>
      </c>
      <c r="C7" s="518"/>
      <c r="D7" s="234" t="s">
        <v>222</v>
      </c>
    </row>
    <row r="8" spans="1:4">
      <c r="A8" s="514" t="s">
        <v>476</v>
      </c>
      <c r="B8" s="233" t="s">
        <v>225</v>
      </c>
      <c r="C8" s="519"/>
      <c r="D8" s="194" t="s">
        <v>226</v>
      </c>
    </row>
    <row r="9" spans="1:4">
      <c r="A9" s="514" t="s">
        <v>477</v>
      </c>
      <c r="B9" s="233" t="s">
        <v>492</v>
      </c>
      <c r="C9" s="520"/>
      <c r="D9" s="194" t="s">
        <v>226</v>
      </c>
    </row>
    <row r="10" spans="1:4">
      <c r="A10" s="514" t="s">
        <v>478</v>
      </c>
      <c r="B10" s="233" t="s">
        <v>493</v>
      </c>
      <c r="C10" s="520"/>
      <c r="D10" s="194" t="s">
        <v>226</v>
      </c>
    </row>
    <row r="11" spans="1:4">
      <c r="A11" s="514" t="s">
        <v>479</v>
      </c>
      <c r="B11" s="233" t="s">
        <v>494</v>
      </c>
      <c r="C11" s="520"/>
      <c r="D11" s="512" t="s">
        <v>226</v>
      </c>
    </row>
    <row r="12" spans="1:4">
      <c r="A12" s="514" t="s">
        <v>480</v>
      </c>
      <c r="B12" s="233" t="s">
        <v>495</v>
      </c>
      <c r="C12" s="520"/>
      <c r="D12" s="194" t="s">
        <v>226</v>
      </c>
    </row>
    <row r="13" spans="1:4">
      <c r="A13" s="514" t="s">
        <v>481</v>
      </c>
      <c r="B13" s="233" t="s">
        <v>496</v>
      </c>
      <c r="C13" s="520"/>
      <c r="D13" s="194" t="s">
        <v>226</v>
      </c>
    </row>
    <row r="14" spans="1:4">
      <c r="A14" s="514" t="s">
        <v>482</v>
      </c>
      <c r="B14" s="233" t="s">
        <v>497</v>
      </c>
      <c r="C14" s="520"/>
      <c r="D14" s="194" t="s">
        <v>226</v>
      </c>
    </row>
    <row r="15" spans="1:4">
      <c r="A15" s="514" t="s">
        <v>483</v>
      </c>
      <c r="B15" s="233" t="s">
        <v>498</v>
      </c>
      <c r="C15" s="521"/>
      <c r="D15" s="194" t="s">
        <v>226</v>
      </c>
    </row>
    <row r="16" spans="1:4">
      <c r="A16" s="514" t="s">
        <v>484</v>
      </c>
      <c r="B16" s="233" t="s">
        <v>499</v>
      </c>
      <c r="C16" s="521"/>
      <c r="D16" s="194" t="s">
        <v>226</v>
      </c>
    </row>
    <row r="17" spans="1:4">
      <c r="A17" s="514" t="s">
        <v>485</v>
      </c>
      <c r="B17" s="233" t="s">
        <v>245</v>
      </c>
      <c r="C17" s="521"/>
      <c r="D17" s="194" t="s">
        <v>226</v>
      </c>
    </row>
    <row r="18" spans="1:4">
      <c r="A18" s="514" t="s">
        <v>486</v>
      </c>
      <c r="B18" s="233" t="s">
        <v>246</v>
      </c>
      <c r="C18" s="521"/>
      <c r="D18" s="194" t="s">
        <v>226</v>
      </c>
    </row>
    <row r="19" spans="1:4">
      <c r="A19" s="514" t="s">
        <v>487</v>
      </c>
      <c r="B19" s="233" t="s">
        <v>500</v>
      </c>
      <c r="C19" s="521"/>
      <c r="D19" s="194" t="s">
        <v>226</v>
      </c>
    </row>
    <row r="20" spans="1:4">
      <c r="A20" s="514" t="s">
        <v>215</v>
      </c>
      <c r="B20" s="233" t="s">
        <v>227</v>
      </c>
      <c r="C20" s="518"/>
      <c r="D20" s="234" t="s">
        <v>222</v>
      </c>
    </row>
    <row r="21" spans="1:4">
      <c r="A21" s="514" t="s">
        <v>488</v>
      </c>
      <c r="B21" s="233" t="s">
        <v>228</v>
      </c>
      <c r="C21" s="522"/>
      <c r="D21" s="194" t="s">
        <v>226</v>
      </c>
    </row>
    <row r="22" spans="1:4">
      <c r="A22" s="514" t="s">
        <v>489</v>
      </c>
      <c r="B22" s="233" t="s">
        <v>229</v>
      </c>
      <c r="C22" s="522"/>
      <c r="D22" s="194" t="s">
        <v>226</v>
      </c>
    </row>
    <row r="23" spans="1:4">
      <c r="A23" s="514" t="s">
        <v>490</v>
      </c>
      <c r="B23" s="233" t="s">
        <v>230</v>
      </c>
      <c r="C23" s="522"/>
      <c r="D23" s="194" t="s">
        <v>226</v>
      </c>
    </row>
    <row r="24" spans="1:4">
      <c r="A24" s="514" t="s">
        <v>491</v>
      </c>
      <c r="B24" s="233" t="s">
        <v>231</v>
      </c>
      <c r="C24" s="522"/>
      <c r="D24" s="194" t="s">
        <v>226</v>
      </c>
    </row>
    <row r="25" spans="1:4">
      <c r="A25" s="514" t="s">
        <v>216</v>
      </c>
      <c r="B25" s="233" t="s">
        <v>232</v>
      </c>
      <c r="C25" s="522"/>
      <c r="D25" s="194" t="s">
        <v>233</v>
      </c>
    </row>
    <row r="26" spans="1:4">
      <c r="A26" s="514" t="s">
        <v>515</v>
      </c>
      <c r="B26" s="233" t="s">
        <v>516</v>
      </c>
      <c r="C26" s="584"/>
      <c r="D26" s="194" t="s">
        <v>517</v>
      </c>
    </row>
    <row r="27" spans="1:4">
      <c r="A27" s="585" t="s">
        <v>519</v>
      </c>
      <c r="B27" s="233" t="s">
        <v>520</v>
      </c>
      <c r="C27" s="584"/>
      <c r="D27" s="194" t="s">
        <v>525</v>
      </c>
    </row>
    <row r="28" spans="1:4">
      <c r="A28" s="585" t="s">
        <v>521</v>
      </c>
      <c r="B28" s="233" t="s">
        <v>522</v>
      </c>
      <c r="C28" s="584"/>
      <c r="D28" s="194" t="s">
        <v>526</v>
      </c>
    </row>
    <row r="29" spans="1:4">
      <c r="A29" s="585" t="s">
        <v>523</v>
      </c>
      <c r="B29" s="233" t="s">
        <v>524</v>
      </c>
      <c r="C29" s="584"/>
      <c r="D29" s="194" t="s">
        <v>526</v>
      </c>
    </row>
    <row r="30" spans="1:4">
      <c r="A30" s="514" t="s">
        <v>518</v>
      </c>
      <c r="B30" s="233" t="s">
        <v>224</v>
      </c>
      <c r="C30" s="584"/>
      <c r="D30" s="234" t="s">
        <v>222</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0" location="INKREMENTY!A1" display="INKREMENTY" xr:uid="{00000000-0004-0000-0100-000007000000}"/>
    <hyperlink ref="A11" location="KATALOG_POZIADAVKY!A1" display="KATALOG_POZIADAVKY" xr:uid="{00000000-0004-0000-0100-000008000000}"/>
    <hyperlink ref="A12" location="TCF_v02!A1" display="TCF_v02" xr:uid="{00000000-0004-0000-0100-000009000000}"/>
    <hyperlink ref="A13" location="ECF_v02!A1" display="ECF_v02" xr:uid="{00000000-0004-0000-0100-00000A000000}"/>
    <hyperlink ref="A14" location="UAW_v02!A1" display="UAW_v02" xr:uid="{00000000-0004-0000-0100-00000B000000}"/>
    <hyperlink ref="A15" location="AKTIVITY_POZICIE!A1" display="AKTIVITY_POZICIE" xr:uid="{00000000-0004-0000-0100-00000C000000}"/>
    <hyperlink ref="A16" location="POZICIE_INTERNE!A1" display="POZICIE_INTERNE" xr:uid="{00000000-0004-0000-0100-00000D000000}"/>
    <hyperlink ref="A17" location="'Rozpocet - Vyvoj aplikacii'!A1" display="Rozpocet - Vyvoj aplikacii" xr:uid="{00000000-0004-0000-0100-00000E000000}"/>
    <hyperlink ref="A18" location="'Rozpočet - HW a licencie'!A1" display="Rozpocet - HW a licencie" xr:uid="{00000000-0004-0000-0100-00000F000000}"/>
    <hyperlink ref="A19" location="Harmonogram!A1" display="Harmonogram" xr:uid="{00000000-0004-0000-0100-000010000000}"/>
    <hyperlink ref="A20" location="TCO!A1" display="TCO" xr:uid="{00000000-0004-0000-0100-000011000000}"/>
    <hyperlink ref="A21" location="'TCO AS IS - SW'!A1" display="TCO AS IS - SW" xr:uid="{00000000-0004-0000-0100-000012000000}"/>
    <hyperlink ref="A22" location="'TCO AS IS - HW'!A1" display="TCO AS IS - HW" xr:uid="{00000000-0004-0000-0100-000013000000}"/>
    <hyperlink ref="A23" location="'TCO TO BE- SW'!A1" display="TCO TO BE - SW" xr:uid="{00000000-0004-0000-0100-000014000000}"/>
    <hyperlink ref="A24" location="'TCO TO BE - HW'!A1" display="TCO TO BE - HW" xr:uid="{00000000-0004-0000-0100-000015000000}"/>
    <hyperlink ref="A25" location="Faktory!A1" display="Faktory" xr:uid="{00000000-0004-0000-0100-000016000000}"/>
    <hyperlink ref="A27" location="'Procesné mapy'!R1C1" display="Procesné mapy" xr:uid="{00000000-0004-0000-0100-000017000000}"/>
    <hyperlink ref="A28" location="'Procesy - AS IS'!R1C1" display="Procesy AS IS" xr:uid="{00000000-0004-0000-0100-000018000000}"/>
    <hyperlink ref="A29"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4">
    <tabColor rgb="FF00B050"/>
  </sheetPr>
  <dimension ref="A1:J102"/>
  <sheetViews>
    <sheetView zoomScaleNormal="100" workbookViewId="0">
      <pane ySplit="2" topLeftCell="A3" activePane="bottomLeft" state="frozen"/>
      <selection pane="bottomLeft" activeCell="J5" sqref="J5"/>
    </sheetView>
  </sheetViews>
  <sheetFormatPr defaultColWidth="8.85546875" defaultRowHeight="15"/>
  <cols>
    <col min="1" max="1" width="17.42578125" style="365" bestFit="1" customWidth="1"/>
    <col min="2" max="2" width="51.42578125" style="365" customWidth="1"/>
    <col min="3" max="3" width="12.42578125" style="365" customWidth="1"/>
    <col min="4" max="4" width="16.28515625" style="365" bestFit="1" customWidth="1"/>
    <col min="5" max="5" width="13.42578125" style="365" bestFit="1" customWidth="1"/>
    <col min="6" max="6" width="8.85546875" style="365"/>
    <col min="7" max="7" width="12.85546875" style="365" bestFit="1" customWidth="1"/>
    <col min="8" max="8" width="18.28515625" style="365" bestFit="1" customWidth="1"/>
    <col min="9" max="9" width="19.140625" style="365" bestFit="1" customWidth="1"/>
    <col min="10" max="10" width="48.85546875" style="365" customWidth="1"/>
    <col min="11" max="16384" width="8.85546875" style="365"/>
  </cols>
  <sheetData>
    <row r="1" spans="1:10" ht="15.75" thickBot="1">
      <c r="I1" s="434">
        <f>SUM(I3:I102)</f>
        <v>4400000</v>
      </c>
    </row>
    <row r="2" spans="1:10" ht="15.75" thickBot="1">
      <c r="A2" s="427" t="s">
        <v>261</v>
      </c>
      <c r="B2" s="428" t="s">
        <v>242</v>
      </c>
      <c r="C2" s="428" t="s">
        <v>305</v>
      </c>
      <c r="D2" s="428" t="s">
        <v>308</v>
      </c>
      <c r="E2" s="428" t="s">
        <v>243</v>
      </c>
      <c r="F2" s="428" t="s">
        <v>244</v>
      </c>
      <c r="G2" s="428" t="s">
        <v>293</v>
      </c>
      <c r="H2" s="429" t="s">
        <v>306</v>
      </c>
      <c r="I2" s="429" t="s">
        <v>307</v>
      </c>
      <c r="J2" s="428" t="s">
        <v>310</v>
      </c>
    </row>
    <row r="3" spans="1:10">
      <c r="A3" s="552" t="s">
        <v>898</v>
      </c>
      <c r="B3" s="549" t="s">
        <v>1326</v>
      </c>
      <c r="C3" s="549" t="s">
        <v>67</v>
      </c>
      <c r="D3" s="549" t="s">
        <v>73</v>
      </c>
      <c r="E3" s="550" t="s">
        <v>745</v>
      </c>
      <c r="F3" s="550">
        <v>1</v>
      </c>
      <c r="G3" s="550">
        <v>1</v>
      </c>
      <c r="H3" s="551">
        <v>2000000</v>
      </c>
      <c r="I3" s="430">
        <f t="shared" ref="I3:I29" si="0">H3*F3</f>
        <v>2000000</v>
      </c>
      <c r="J3" s="554" t="s">
        <v>1327</v>
      </c>
    </row>
    <row r="4" spans="1:10">
      <c r="A4" s="552" t="s">
        <v>898</v>
      </c>
      <c r="B4" s="549" t="s">
        <v>1328</v>
      </c>
      <c r="C4" s="549" t="s">
        <v>67</v>
      </c>
      <c r="D4" s="549" t="s">
        <v>73</v>
      </c>
      <c r="E4" s="550" t="s">
        <v>745</v>
      </c>
      <c r="F4" s="550">
        <v>1</v>
      </c>
      <c r="G4" s="550">
        <v>1</v>
      </c>
      <c r="H4" s="551">
        <v>700000</v>
      </c>
      <c r="I4" s="430">
        <f t="shared" si="0"/>
        <v>700000</v>
      </c>
      <c r="J4" s="554" t="s">
        <v>1327</v>
      </c>
    </row>
    <row r="5" spans="1:10">
      <c r="A5" s="552" t="s">
        <v>898</v>
      </c>
      <c r="B5" s="549" t="s">
        <v>1329</v>
      </c>
      <c r="C5" s="549" t="s">
        <v>67</v>
      </c>
      <c r="D5" s="549" t="s">
        <v>73</v>
      </c>
      <c r="E5" s="550" t="s">
        <v>745</v>
      </c>
      <c r="F5" s="550">
        <v>1</v>
      </c>
      <c r="G5" s="550">
        <v>1</v>
      </c>
      <c r="H5" s="551">
        <v>1700000</v>
      </c>
      <c r="I5" s="430">
        <f t="shared" si="0"/>
        <v>1700000</v>
      </c>
      <c r="J5" s="554" t="s">
        <v>1327</v>
      </c>
    </row>
    <row r="6" spans="1:10">
      <c r="A6" s="552"/>
      <c r="B6" s="549"/>
      <c r="C6" s="549"/>
      <c r="D6" s="549"/>
      <c r="E6" s="550"/>
      <c r="F6" s="550"/>
      <c r="G6" s="550"/>
      <c r="H6" s="551"/>
      <c r="I6" s="430">
        <f t="shared" si="0"/>
        <v>0</v>
      </c>
      <c r="J6" s="554"/>
    </row>
    <row r="7" spans="1:10">
      <c r="A7" s="552"/>
      <c r="B7" s="549"/>
      <c r="C7" s="549"/>
      <c r="D7" s="549"/>
      <c r="E7" s="550"/>
      <c r="F7" s="550"/>
      <c r="G7" s="550"/>
      <c r="H7" s="551"/>
      <c r="I7" s="430">
        <f t="shared" si="0"/>
        <v>0</v>
      </c>
      <c r="J7" s="554"/>
    </row>
    <row r="8" spans="1:10">
      <c r="A8" s="552"/>
      <c r="B8" s="549"/>
      <c r="C8" s="549"/>
      <c r="D8" s="549"/>
      <c r="E8" s="550"/>
      <c r="F8" s="550"/>
      <c r="G8" s="550"/>
      <c r="H8" s="551"/>
      <c r="I8" s="430">
        <f t="shared" si="0"/>
        <v>0</v>
      </c>
      <c r="J8" s="554"/>
    </row>
    <row r="9" spans="1:10">
      <c r="A9" s="552"/>
      <c r="B9" s="549"/>
      <c r="C9" s="549"/>
      <c r="D9" s="549"/>
      <c r="E9" s="550"/>
      <c r="F9" s="550"/>
      <c r="G9" s="550"/>
      <c r="H9" s="551"/>
      <c r="I9" s="430">
        <f t="shared" si="0"/>
        <v>0</v>
      </c>
      <c r="J9" s="554"/>
    </row>
    <row r="10" spans="1:10">
      <c r="A10" s="552"/>
      <c r="B10" s="549"/>
      <c r="C10" s="549"/>
      <c r="D10" s="549"/>
      <c r="E10" s="550"/>
      <c r="F10" s="550"/>
      <c r="G10" s="550"/>
      <c r="H10" s="551"/>
      <c r="I10" s="430">
        <f t="shared" si="0"/>
        <v>0</v>
      </c>
      <c r="J10" s="554"/>
    </row>
    <row r="11" spans="1:10">
      <c r="A11" s="552"/>
      <c r="B11" s="549"/>
      <c r="C11" s="549"/>
      <c r="D11" s="549"/>
      <c r="E11" s="550"/>
      <c r="F11" s="550"/>
      <c r="G11" s="550"/>
      <c r="H11" s="551"/>
      <c r="I11" s="430">
        <f t="shared" si="0"/>
        <v>0</v>
      </c>
      <c r="J11" s="554"/>
    </row>
    <row r="12" spans="1:10">
      <c r="A12" s="552"/>
      <c r="B12" s="549"/>
      <c r="C12" s="549"/>
      <c r="D12" s="549"/>
      <c r="E12" s="550"/>
      <c r="F12" s="550"/>
      <c r="G12" s="550"/>
      <c r="H12" s="551"/>
      <c r="I12" s="430">
        <f t="shared" si="0"/>
        <v>0</v>
      </c>
      <c r="J12" s="554"/>
    </row>
    <row r="13" spans="1:10">
      <c r="A13" s="552"/>
      <c r="B13" s="549"/>
      <c r="C13" s="549"/>
      <c r="D13" s="549"/>
      <c r="E13" s="550"/>
      <c r="F13" s="550"/>
      <c r="G13" s="550"/>
      <c r="H13" s="551"/>
      <c r="I13" s="430">
        <f t="shared" si="0"/>
        <v>0</v>
      </c>
      <c r="J13" s="554"/>
    </row>
    <row r="14" spans="1:10">
      <c r="A14" s="552"/>
      <c r="B14" s="549"/>
      <c r="C14" s="549"/>
      <c r="D14" s="549"/>
      <c r="E14" s="550"/>
      <c r="F14" s="550"/>
      <c r="G14" s="550"/>
      <c r="H14" s="551"/>
      <c r="I14" s="430">
        <f t="shared" si="0"/>
        <v>0</v>
      </c>
      <c r="J14" s="554"/>
    </row>
    <row r="15" spans="1:10">
      <c r="A15" s="552"/>
      <c r="B15" s="549"/>
      <c r="C15" s="549"/>
      <c r="D15" s="549"/>
      <c r="E15" s="550"/>
      <c r="F15" s="550"/>
      <c r="G15" s="550"/>
      <c r="H15" s="551"/>
      <c r="I15" s="430">
        <f t="shared" si="0"/>
        <v>0</v>
      </c>
      <c r="J15" s="554"/>
    </row>
    <row r="16" spans="1:10">
      <c r="A16" s="552"/>
      <c r="B16" s="549"/>
      <c r="C16" s="549"/>
      <c r="D16" s="549"/>
      <c r="E16" s="550"/>
      <c r="F16" s="550"/>
      <c r="G16" s="550"/>
      <c r="H16" s="551"/>
      <c r="I16" s="430">
        <f t="shared" si="0"/>
        <v>0</v>
      </c>
      <c r="J16" s="554"/>
    </row>
    <row r="17" spans="1:10">
      <c r="A17" s="552"/>
      <c r="B17" s="549"/>
      <c r="C17" s="549"/>
      <c r="D17" s="549"/>
      <c r="E17" s="550"/>
      <c r="F17" s="550"/>
      <c r="G17" s="550"/>
      <c r="H17" s="551"/>
      <c r="I17" s="430">
        <f t="shared" si="0"/>
        <v>0</v>
      </c>
      <c r="J17" s="554"/>
    </row>
    <row r="18" spans="1:10">
      <c r="A18" s="552"/>
      <c r="B18" s="549"/>
      <c r="C18" s="549"/>
      <c r="D18" s="549"/>
      <c r="E18" s="550"/>
      <c r="F18" s="550"/>
      <c r="G18" s="550"/>
      <c r="H18" s="551"/>
      <c r="I18" s="430">
        <f t="shared" si="0"/>
        <v>0</v>
      </c>
      <c r="J18" s="554"/>
    </row>
    <row r="19" spans="1:10">
      <c r="A19" s="552"/>
      <c r="B19" s="549"/>
      <c r="C19" s="549"/>
      <c r="D19" s="549"/>
      <c r="E19" s="550"/>
      <c r="F19" s="550"/>
      <c r="G19" s="550"/>
      <c r="H19" s="551"/>
      <c r="I19" s="430">
        <f t="shared" si="0"/>
        <v>0</v>
      </c>
      <c r="J19" s="554"/>
    </row>
    <row r="20" spans="1:10">
      <c r="A20" s="552"/>
      <c r="B20" s="549"/>
      <c r="C20" s="549"/>
      <c r="D20" s="549"/>
      <c r="E20" s="550"/>
      <c r="F20" s="550"/>
      <c r="G20" s="550"/>
      <c r="H20" s="551"/>
      <c r="I20" s="430">
        <f t="shared" si="0"/>
        <v>0</v>
      </c>
      <c r="J20" s="554"/>
    </row>
    <row r="21" spans="1:10">
      <c r="A21" s="552"/>
      <c r="B21" s="549"/>
      <c r="C21" s="549"/>
      <c r="D21" s="549"/>
      <c r="E21" s="550"/>
      <c r="F21" s="550"/>
      <c r="G21" s="550"/>
      <c r="H21" s="551"/>
      <c r="I21" s="430">
        <f t="shared" si="0"/>
        <v>0</v>
      </c>
      <c r="J21" s="554"/>
    </row>
    <row r="22" spans="1:10">
      <c r="A22" s="552"/>
      <c r="B22" s="549"/>
      <c r="C22" s="549"/>
      <c r="D22" s="549"/>
      <c r="E22" s="550"/>
      <c r="F22" s="550"/>
      <c r="G22" s="550"/>
      <c r="H22" s="551"/>
      <c r="I22" s="430">
        <f t="shared" si="0"/>
        <v>0</v>
      </c>
      <c r="J22" s="554"/>
    </row>
    <row r="23" spans="1:10">
      <c r="A23" s="552"/>
      <c r="B23" s="549"/>
      <c r="C23" s="549"/>
      <c r="D23" s="549"/>
      <c r="E23" s="550"/>
      <c r="F23" s="550"/>
      <c r="G23" s="550"/>
      <c r="H23" s="551"/>
      <c r="I23" s="430">
        <f t="shared" si="0"/>
        <v>0</v>
      </c>
      <c r="J23" s="554"/>
    </row>
    <row r="24" spans="1:10">
      <c r="A24" s="552"/>
      <c r="B24" s="549"/>
      <c r="C24" s="549"/>
      <c r="D24" s="549"/>
      <c r="E24" s="550"/>
      <c r="F24" s="550"/>
      <c r="G24" s="550"/>
      <c r="H24" s="551"/>
      <c r="I24" s="430">
        <f t="shared" si="0"/>
        <v>0</v>
      </c>
      <c r="J24" s="554"/>
    </row>
    <row r="25" spans="1:10">
      <c r="A25" s="552"/>
      <c r="B25" s="549"/>
      <c r="C25" s="549"/>
      <c r="D25" s="549"/>
      <c r="E25" s="550"/>
      <c r="F25" s="550"/>
      <c r="G25" s="550"/>
      <c r="H25" s="551"/>
      <c r="I25" s="430">
        <f t="shared" si="0"/>
        <v>0</v>
      </c>
      <c r="J25" s="554"/>
    </row>
    <row r="26" spans="1:10">
      <c r="A26" s="552"/>
      <c r="B26" s="549"/>
      <c r="C26" s="549"/>
      <c r="D26" s="549"/>
      <c r="E26" s="550"/>
      <c r="F26" s="550"/>
      <c r="G26" s="550"/>
      <c r="H26" s="551"/>
      <c r="I26" s="430">
        <f t="shared" si="0"/>
        <v>0</v>
      </c>
      <c r="J26" s="554"/>
    </row>
    <row r="27" spans="1:10">
      <c r="A27" s="548"/>
      <c r="B27" s="549"/>
      <c r="C27" s="549"/>
      <c r="D27" s="549"/>
      <c r="E27" s="550"/>
      <c r="F27" s="550"/>
      <c r="G27" s="550"/>
      <c r="H27" s="551"/>
      <c r="I27" s="430">
        <f t="shared" si="0"/>
        <v>0</v>
      </c>
      <c r="J27" s="554"/>
    </row>
    <row r="28" spans="1:10">
      <c r="A28" s="548"/>
      <c r="B28" s="549"/>
      <c r="C28" s="549"/>
      <c r="D28" s="549"/>
      <c r="E28" s="550"/>
      <c r="F28" s="550"/>
      <c r="G28" s="550"/>
      <c r="H28" s="551"/>
      <c r="I28" s="430">
        <f t="shared" si="0"/>
        <v>0</v>
      </c>
      <c r="J28" s="554"/>
    </row>
    <row r="29" spans="1:10">
      <c r="A29" s="552"/>
      <c r="B29" s="549"/>
      <c r="C29" s="549"/>
      <c r="D29" s="549"/>
      <c r="E29" s="550"/>
      <c r="F29" s="550"/>
      <c r="G29" s="550"/>
      <c r="H29" s="551"/>
      <c r="I29" s="430">
        <f t="shared" si="0"/>
        <v>0</v>
      </c>
      <c r="J29" s="554"/>
    </row>
    <row r="30" spans="1:10">
      <c r="A30" s="552"/>
      <c r="B30" s="549"/>
      <c r="C30" s="549"/>
      <c r="D30" s="549"/>
      <c r="E30" s="550"/>
      <c r="F30" s="550"/>
      <c r="G30" s="550"/>
      <c r="H30" s="553"/>
      <c r="I30" s="430">
        <f t="shared" ref="I30:I93" si="1">H30*F30</f>
        <v>0</v>
      </c>
      <c r="J30" s="554"/>
    </row>
    <row r="31" spans="1:10">
      <c r="A31" s="552"/>
      <c r="B31" s="549"/>
      <c r="C31" s="549"/>
      <c r="D31" s="549"/>
      <c r="E31" s="550"/>
      <c r="F31" s="550"/>
      <c r="G31" s="550"/>
      <c r="H31" s="553"/>
      <c r="I31" s="430">
        <f t="shared" si="1"/>
        <v>0</v>
      </c>
      <c r="J31" s="554"/>
    </row>
    <row r="32" spans="1:10">
      <c r="A32" s="552"/>
      <c r="B32" s="549"/>
      <c r="C32" s="549"/>
      <c r="D32" s="549"/>
      <c r="E32" s="550"/>
      <c r="F32" s="550"/>
      <c r="G32" s="550"/>
      <c r="H32" s="553"/>
      <c r="I32" s="430">
        <f t="shared" si="1"/>
        <v>0</v>
      </c>
      <c r="J32" s="554"/>
    </row>
    <row r="33" spans="1:10">
      <c r="A33" s="552"/>
      <c r="B33" s="549"/>
      <c r="C33" s="549"/>
      <c r="D33" s="549"/>
      <c r="E33" s="550"/>
      <c r="F33" s="550"/>
      <c r="G33" s="550"/>
      <c r="H33" s="553"/>
      <c r="I33" s="430">
        <f t="shared" si="1"/>
        <v>0</v>
      </c>
      <c r="J33" s="554"/>
    </row>
    <row r="34" spans="1:10">
      <c r="A34" s="552"/>
      <c r="B34" s="549"/>
      <c r="C34" s="549"/>
      <c r="D34" s="549"/>
      <c r="E34" s="550"/>
      <c r="F34" s="550"/>
      <c r="G34" s="550"/>
      <c r="H34" s="553"/>
      <c r="I34" s="430">
        <f t="shared" si="1"/>
        <v>0</v>
      </c>
      <c r="J34" s="554"/>
    </row>
    <row r="35" spans="1:10">
      <c r="A35" s="552"/>
      <c r="B35" s="549"/>
      <c r="C35" s="549"/>
      <c r="D35" s="549"/>
      <c r="E35" s="550"/>
      <c r="F35" s="550"/>
      <c r="G35" s="550"/>
      <c r="H35" s="553"/>
      <c r="I35" s="430">
        <f t="shared" si="1"/>
        <v>0</v>
      </c>
      <c r="J35" s="554"/>
    </row>
    <row r="36" spans="1:10">
      <c r="A36" s="552"/>
      <c r="B36" s="549"/>
      <c r="C36" s="549"/>
      <c r="D36" s="549"/>
      <c r="E36" s="550"/>
      <c r="F36" s="550"/>
      <c r="G36" s="550"/>
      <c r="H36" s="553"/>
      <c r="I36" s="430">
        <f t="shared" si="1"/>
        <v>0</v>
      </c>
      <c r="J36" s="554"/>
    </row>
    <row r="37" spans="1:10">
      <c r="A37" s="552"/>
      <c r="B37" s="549"/>
      <c r="C37" s="549"/>
      <c r="D37" s="549"/>
      <c r="E37" s="550"/>
      <c r="F37" s="550"/>
      <c r="G37" s="550"/>
      <c r="H37" s="553"/>
      <c r="I37" s="430">
        <f t="shared" si="1"/>
        <v>0</v>
      </c>
      <c r="J37" s="554"/>
    </row>
    <row r="38" spans="1:10">
      <c r="A38" s="552"/>
      <c r="B38" s="549"/>
      <c r="C38" s="549"/>
      <c r="D38" s="549"/>
      <c r="E38" s="550"/>
      <c r="F38" s="550"/>
      <c r="G38" s="550"/>
      <c r="H38" s="553"/>
      <c r="I38" s="430">
        <f t="shared" si="1"/>
        <v>0</v>
      </c>
      <c r="J38" s="554"/>
    </row>
    <row r="39" spans="1:10">
      <c r="A39" s="552"/>
      <c r="B39" s="549"/>
      <c r="C39" s="549"/>
      <c r="D39" s="549"/>
      <c r="E39" s="550"/>
      <c r="F39" s="550"/>
      <c r="G39" s="550"/>
      <c r="H39" s="553"/>
      <c r="I39" s="430">
        <f t="shared" si="1"/>
        <v>0</v>
      </c>
      <c r="J39" s="554"/>
    </row>
    <row r="40" spans="1:10">
      <c r="A40" s="552"/>
      <c r="B40" s="549"/>
      <c r="C40" s="549"/>
      <c r="D40" s="549"/>
      <c r="E40" s="550"/>
      <c r="F40" s="550"/>
      <c r="G40" s="550"/>
      <c r="H40" s="553"/>
      <c r="I40" s="430">
        <f t="shared" si="1"/>
        <v>0</v>
      </c>
      <c r="J40" s="554"/>
    </row>
    <row r="41" spans="1:10">
      <c r="A41" s="552"/>
      <c r="B41" s="549"/>
      <c r="C41" s="549"/>
      <c r="D41" s="549"/>
      <c r="E41" s="550"/>
      <c r="F41" s="550"/>
      <c r="G41" s="550"/>
      <c r="H41" s="553"/>
      <c r="I41" s="430">
        <f t="shared" si="1"/>
        <v>0</v>
      </c>
      <c r="J41" s="554"/>
    </row>
    <row r="42" spans="1:10">
      <c r="A42" s="552"/>
      <c r="B42" s="549"/>
      <c r="C42" s="549"/>
      <c r="D42" s="549"/>
      <c r="E42" s="550"/>
      <c r="F42" s="550"/>
      <c r="G42" s="550"/>
      <c r="H42" s="553"/>
      <c r="I42" s="430">
        <f t="shared" si="1"/>
        <v>0</v>
      </c>
      <c r="J42" s="554"/>
    </row>
    <row r="43" spans="1:10">
      <c r="A43" s="552"/>
      <c r="B43" s="549"/>
      <c r="C43" s="549"/>
      <c r="D43" s="549"/>
      <c r="E43" s="550"/>
      <c r="F43" s="550"/>
      <c r="G43" s="550"/>
      <c r="H43" s="553"/>
      <c r="I43" s="430">
        <f t="shared" si="1"/>
        <v>0</v>
      </c>
      <c r="J43" s="554"/>
    </row>
    <row r="44" spans="1:10">
      <c r="A44" s="552"/>
      <c r="B44" s="549"/>
      <c r="C44" s="549"/>
      <c r="D44" s="549"/>
      <c r="E44" s="550"/>
      <c r="F44" s="550"/>
      <c r="G44" s="550"/>
      <c r="H44" s="553"/>
      <c r="I44" s="430">
        <f t="shared" si="1"/>
        <v>0</v>
      </c>
      <c r="J44" s="554"/>
    </row>
    <row r="45" spans="1:10">
      <c r="A45" s="552"/>
      <c r="B45" s="549"/>
      <c r="C45" s="549"/>
      <c r="D45" s="549"/>
      <c r="E45" s="550"/>
      <c r="F45" s="550"/>
      <c r="G45" s="550"/>
      <c r="H45" s="551"/>
      <c r="I45" s="430">
        <f t="shared" si="1"/>
        <v>0</v>
      </c>
      <c r="J45" s="554"/>
    </row>
    <row r="46" spans="1:10">
      <c r="A46" s="552"/>
      <c r="B46" s="549"/>
      <c r="C46" s="549"/>
      <c r="D46" s="549"/>
      <c r="E46" s="550"/>
      <c r="F46" s="550"/>
      <c r="G46" s="550"/>
      <c r="H46" s="551"/>
      <c r="I46" s="430">
        <f t="shared" si="1"/>
        <v>0</v>
      </c>
      <c r="J46" s="554"/>
    </row>
    <row r="47" spans="1:10">
      <c r="A47" s="552"/>
      <c r="B47" s="549"/>
      <c r="C47" s="549"/>
      <c r="D47" s="549"/>
      <c r="E47" s="550"/>
      <c r="F47" s="550"/>
      <c r="G47" s="550"/>
      <c r="H47" s="551"/>
      <c r="I47" s="430">
        <f t="shared" si="1"/>
        <v>0</v>
      </c>
      <c r="J47" s="554"/>
    </row>
    <row r="48" spans="1:10">
      <c r="A48" s="552"/>
      <c r="B48" s="549"/>
      <c r="C48" s="549"/>
      <c r="D48" s="549"/>
      <c r="E48" s="550"/>
      <c r="F48" s="550"/>
      <c r="G48" s="550"/>
      <c r="H48" s="551"/>
      <c r="I48" s="430">
        <f t="shared" si="1"/>
        <v>0</v>
      </c>
      <c r="J48" s="554"/>
    </row>
    <row r="49" spans="1:10">
      <c r="A49" s="552"/>
      <c r="B49" s="549"/>
      <c r="C49" s="549"/>
      <c r="D49" s="549"/>
      <c r="E49" s="550"/>
      <c r="F49" s="550"/>
      <c r="G49" s="550"/>
      <c r="H49" s="551"/>
      <c r="I49" s="430">
        <f t="shared" si="1"/>
        <v>0</v>
      </c>
      <c r="J49" s="554"/>
    </row>
    <row r="50" spans="1:10">
      <c r="A50" s="552"/>
      <c r="B50" s="549"/>
      <c r="C50" s="549"/>
      <c r="D50" s="549"/>
      <c r="E50" s="550"/>
      <c r="F50" s="550"/>
      <c r="G50" s="550"/>
      <c r="H50" s="551"/>
      <c r="I50" s="430">
        <f t="shared" si="1"/>
        <v>0</v>
      </c>
      <c r="J50" s="554"/>
    </row>
    <row r="51" spans="1:10">
      <c r="A51" s="552"/>
      <c r="B51" s="549"/>
      <c r="C51" s="549"/>
      <c r="D51" s="549"/>
      <c r="E51" s="550"/>
      <c r="F51" s="550"/>
      <c r="G51" s="550"/>
      <c r="H51" s="551"/>
      <c r="I51" s="430">
        <f t="shared" si="1"/>
        <v>0</v>
      </c>
      <c r="J51" s="554"/>
    </row>
    <row r="52" spans="1:10">
      <c r="A52" s="552"/>
      <c r="B52" s="549"/>
      <c r="C52" s="549"/>
      <c r="D52" s="549"/>
      <c r="E52" s="550"/>
      <c r="F52" s="550"/>
      <c r="G52" s="550"/>
      <c r="H52" s="551"/>
      <c r="I52" s="430">
        <f t="shared" si="1"/>
        <v>0</v>
      </c>
      <c r="J52" s="554"/>
    </row>
    <row r="53" spans="1:10">
      <c r="A53" s="552"/>
      <c r="B53" s="549"/>
      <c r="C53" s="549"/>
      <c r="D53" s="549"/>
      <c r="E53" s="550"/>
      <c r="F53" s="550"/>
      <c r="G53" s="550"/>
      <c r="H53" s="551"/>
      <c r="I53" s="430">
        <f t="shared" si="1"/>
        <v>0</v>
      </c>
      <c r="J53" s="554"/>
    </row>
    <row r="54" spans="1:10">
      <c r="A54" s="552"/>
      <c r="B54" s="549"/>
      <c r="C54" s="549"/>
      <c r="D54" s="549"/>
      <c r="E54" s="550"/>
      <c r="F54" s="550"/>
      <c r="G54" s="550"/>
      <c r="H54" s="551"/>
      <c r="I54" s="430">
        <f t="shared" si="1"/>
        <v>0</v>
      </c>
      <c r="J54" s="554"/>
    </row>
    <row r="55" spans="1:10">
      <c r="A55" s="552"/>
      <c r="B55" s="549"/>
      <c r="C55" s="549"/>
      <c r="D55" s="549"/>
      <c r="E55" s="550"/>
      <c r="F55" s="550"/>
      <c r="G55" s="550"/>
      <c r="H55" s="551"/>
      <c r="I55" s="430">
        <f t="shared" si="1"/>
        <v>0</v>
      </c>
      <c r="J55" s="554"/>
    </row>
    <row r="56" spans="1:10">
      <c r="A56" s="552"/>
      <c r="B56" s="549"/>
      <c r="C56" s="549"/>
      <c r="D56" s="549"/>
      <c r="E56" s="550"/>
      <c r="F56" s="550"/>
      <c r="G56" s="550"/>
      <c r="H56" s="551"/>
      <c r="I56" s="430">
        <f t="shared" si="1"/>
        <v>0</v>
      </c>
      <c r="J56" s="554"/>
    </row>
    <row r="57" spans="1:10">
      <c r="A57" s="552"/>
      <c r="B57" s="549"/>
      <c r="C57" s="549"/>
      <c r="D57" s="549"/>
      <c r="E57" s="550"/>
      <c r="F57" s="550"/>
      <c r="G57" s="550"/>
      <c r="H57" s="551"/>
      <c r="I57" s="430">
        <f t="shared" si="1"/>
        <v>0</v>
      </c>
      <c r="J57" s="554"/>
    </row>
    <row r="58" spans="1:10">
      <c r="A58" s="552"/>
      <c r="B58" s="549"/>
      <c r="C58" s="549"/>
      <c r="D58" s="549"/>
      <c r="E58" s="550"/>
      <c r="F58" s="550"/>
      <c r="G58" s="550"/>
      <c r="H58" s="551"/>
      <c r="I58" s="430">
        <f t="shared" si="1"/>
        <v>0</v>
      </c>
      <c r="J58" s="554"/>
    </row>
    <row r="59" spans="1:10">
      <c r="A59" s="552"/>
      <c r="B59" s="549"/>
      <c r="C59" s="549"/>
      <c r="D59" s="549"/>
      <c r="E59" s="550"/>
      <c r="F59" s="550"/>
      <c r="G59" s="550"/>
      <c r="H59" s="551"/>
      <c r="I59" s="430">
        <f t="shared" si="1"/>
        <v>0</v>
      </c>
      <c r="J59" s="554"/>
    </row>
    <row r="60" spans="1:10">
      <c r="A60" s="552"/>
      <c r="B60" s="549"/>
      <c r="C60" s="549"/>
      <c r="D60" s="549"/>
      <c r="E60" s="550"/>
      <c r="F60" s="550"/>
      <c r="G60" s="550"/>
      <c r="H60" s="551"/>
      <c r="I60" s="430">
        <f t="shared" si="1"/>
        <v>0</v>
      </c>
      <c r="J60" s="554"/>
    </row>
    <row r="61" spans="1:10">
      <c r="A61" s="552"/>
      <c r="B61" s="549"/>
      <c r="C61" s="549"/>
      <c r="D61" s="549"/>
      <c r="E61" s="550"/>
      <c r="F61" s="550"/>
      <c r="G61" s="550"/>
      <c r="H61" s="551"/>
      <c r="I61" s="430">
        <f t="shared" si="1"/>
        <v>0</v>
      </c>
      <c r="J61" s="554"/>
    </row>
    <row r="62" spans="1:10">
      <c r="A62" s="552"/>
      <c r="B62" s="549"/>
      <c r="C62" s="549"/>
      <c r="D62" s="549"/>
      <c r="E62" s="550"/>
      <c r="F62" s="550"/>
      <c r="G62" s="550"/>
      <c r="H62" s="551"/>
      <c r="I62" s="430">
        <f t="shared" si="1"/>
        <v>0</v>
      </c>
      <c r="J62" s="554"/>
    </row>
    <row r="63" spans="1:10">
      <c r="A63" s="552"/>
      <c r="B63" s="549"/>
      <c r="C63" s="549"/>
      <c r="D63" s="549"/>
      <c r="E63" s="550"/>
      <c r="F63" s="550"/>
      <c r="G63" s="550"/>
      <c r="H63" s="551"/>
      <c r="I63" s="430">
        <f t="shared" si="1"/>
        <v>0</v>
      </c>
      <c r="J63" s="554"/>
    </row>
    <row r="64" spans="1:10">
      <c r="A64" s="552"/>
      <c r="B64" s="549"/>
      <c r="C64" s="549"/>
      <c r="D64" s="549"/>
      <c r="E64" s="550"/>
      <c r="F64" s="550"/>
      <c r="G64" s="550"/>
      <c r="H64" s="551"/>
      <c r="I64" s="430">
        <f t="shared" si="1"/>
        <v>0</v>
      </c>
      <c r="J64" s="554"/>
    </row>
    <row r="65" spans="1:10">
      <c r="A65" s="552"/>
      <c r="B65" s="549"/>
      <c r="C65" s="549"/>
      <c r="D65" s="549"/>
      <c r="E65" s="550"/>
      <c r="F65" s="550"/>
      <c r="G65" s="550"/>
      <c r="H65" s="551"/>
      <c r="I65" s="430">
        <f t="shared" si="1"/>
        <v>0</v>
      </c>
      <c r="J65" s="554"/>
    </row>
    <row r="66" spans="1:10">
      <c r="A66" s="552"/>
      <c r="B66" s="549"/>
      <c r="C66" s="549"/>
      <c r="D66" s="549"/>
      <c r="E66" s="550"/>
      <c r="F66" s="550"/>
      <c r="G66" s="550"/>
      <c r="H66" s="551"/>
      <c r="I66" s="430">
        <f t="shared" si="1"/>
        <v>0</v>
      </c>
      <c r="J66" s="554"/>
    </row>
    <row r="67" spans="1:10">
      <c r="A67" s="552"/>
      <c r="B67" s="549"/>
      <c r="C67" s="549"/>
      <c r="D67" s="549"/>
      <c r="E67" s="550"/>
      <c r="F67" s="550"/>
      <c r="G67" s="550"/>
      <c r="H67" s="551"/>
      <c r="I67" s="430">
        <f t="shared" si="1"/>
        <v>0</v>
      </c>
      <c r="J67" s="554"/>
    </row>
    <row r="68" spans="1:10">
      <c r="A68" s="552"/>
      <c r="B68" s="549"/>
      <c r="C68" s="549"/>
      <c r="D68" s="549"/>
      <c r="E68" s="550"/>
      <c r="F68" s="550"/>
      <c r="G68" s="550"/>
      <c r="H68" s="551"/>
      <c r="I68" s="430">
        <f t="shared" si="1"/>
        <v>0</v>
      </c>
      <c r="J68" s="554"/>
    </row>
    <row r="69" spans="1:10">
      <c r="A69" s="552"/>
      <c r="B69" s="549"/>
      <c r="C69" s="549"/>
      <c r="D69" s="549"/>
      <c r="E69" s="550"/>
      <c r="F69" s="550"/>
      <c r="G69" s="550"/>
      <c r="H69" s="551"/>
      <c r="I69" s="430">
        <f t="shared" si="1"/>
        <v>0</v>
      </c>
      <c r="J69" s="554"/>
    </row>
    <row r="70" spans="1:10">
      <c r="A70" s="552"/>
      <c r="B70" s="549"/>
      <c r="C70" s="549"/>
      <c r="D70" s="549"/>
      <c r="E70" s="550"/>
      <c r="F70" s="550"/>
      <c r="G70" s="550"/>
      <c r="H70" s="551"/>
      <c r="I70" s="430">
        <f t="shared" si="1"/>
        <v>0</v>
      </c>
      <c r="J70" s="554"/>
    </row>
    <row r="71" spans="1:10">
      <c r="A71" s="552"/>
      <c r="B71" s="549"/>
      <c r="C71" s="549"/>
      <c r="D71" s="549"/>
      <c r="E71" s="550"/>
      <c r="F71" s="550"/>
      <c r="G71" s="550"/>
      <c r="H71" s="551"/>
      <c r="I71" s="430">
        <f t="shared" si="1"/>
        <v>0</v>
      </c>
      <c r="J71" s="554"/>
    </row>
    <row r="72" spans="1:10">
      <c r="A72" s="552"/>
      <c r="B72" s="549"/>
      <c r="C72" s="549"/>
      <c r="D72" s="549"/>
      <c r="E72" s="550"/>
      <c r="F72" s="550"/>
      <c r="G72" s="550"/>
      <c r="H72" s="551"/>
      <c r="I72" s="430">
        <f t="shared" si="1"/>
        <v>0</v>
      </c>
      <c r="J72" s="554"/>
    </row>
    <row r="73" spans="1:10">
      <c r="A73" s="552"/>
      <c r="B73" s="549"/>
      <c r="C73" s="549"/>
      <c r="D73" s="549"/>
      <c r="E73" s="550"/>
      <c r="F73" s="550"/>
      <c r="G73" s="550"/>
      <c r="H73" s="551"/>
      <c r="I73" s="430">
        <f t="shared" si="1"/>
        <v>0</v>
      </c>
      <c r="J73" s="554"/>
    </row>
    <row r="74" spans="1:10">
      <c r="A74" s="552"/>
      <c r="B74" s="549"/>
      <c r="C74" s="549"/>
      <c r="D74" s="549"/>
      <c r="E74" s="550"/>
      <c r="F74" s="550"/>
      <c r="G74" s="550"/>
      <c r="H74" s="551"/>
      <c r="I74" s="430">
        <f t="shared" si="1"/>
        <v>0</v>
      </c>
      <c r="J74" s="554"/>
    </row>
    <row r="75" spans="1:10">
      <c r="A75" s="552"/>
      <c r="B75" s="549"/>
      <c r="C75" s="549"/>
      <c r="D75" s="549"/>
      <c r="E75" s="550"/>
      <c r="F75" s="550"/>
      <c r="G75" s="550"/>
      <c r="H75" s="551"/>
      <c r="I75" s="430">
        <f t="shared" si="1"/>
        <v>0</v>
      </c>
      <c r="J75" s="554"/>
    </row>
    <row r="76" spans="1:10">
      <c r="A76" s="552"/>
      <c r="B76" s="549"/>
      <c r="C76" s="549"/>
      <c r="D76" s="549"/>
      <c r="E76" s="550"/>
      <c r="F76" s="550"/>
      <c r="G76" s="550"/>
      <c r="H76" s="551"/>
      <c r="I76" s="430">
        <f t="shared" si="1"/>
        <v>0</v>
      </c>
      <c r="J76" s="554"/>
    </row>
    <row r="77" spans="1:10">
      <c r="A77" s="552"/>
      <c r="B77" s="549"/>
      <c r="C77" s="549"/>
      <c r="D77" s="549"/>
      <c r="E77" s="550"/>
      <c r="F77" s="550"/>
      <c r="G77" s="550"/>
      <c r="H77" s="551"/>
      <c r="I77" s="430">
        <f t="shared" si="1"/>
        <v>0</v>
      </c>
      <c r="J77" s="554"/>
    </row>
    <row r="78" spans="1:10">
      <c r="A78" s="552"/>
      <c r="B78" s="549"/>
      <c r="C78" s="549"/>
      <c r="D78" s="549"/>
      <c r="E78" s="550"/>
      <c r="F78" s="550"/>
      <c r="G78" s="550"/>
      <c r="H78" s="551"/>
      <c r="I78" s="430">
        <f t="shared" si="1"/>
        <v>0</v>
      </c>
      <c r="J78" s="554"/>
    </row>
    <row r="79" spans="1:10">
      <c r="A79" s="552"/>
      <c r="B79" s="549"/>
      <c r="C79" s="549"/>
      <c r="D79" s="549"/>
      <c r="E79" s="550"/>
      <c r="F79" s="550"/>
      <c r="G79" s="550"/>
      <c r="H79" s="551"/>
      <c r="I79" s="430">
        <f t="shared" si="1"/>
        <v>0</v>
      </c>
      <c r="J79" s="554"/>
    </row>
    <row r="80" spans="1:10">
      <c r="A80" s="552"/>
      <c r="B80" s="549"/>
      <c r="C80" s="549"/>
      <c r="D80" s="549"/>
      <c r="E80" s="550"/>
      <c r="F80" s="550"/>
      <c r="G80" s="550"/>
      <c r="H80" s="551"/>
      <c r="I80" s="430">
        <f t="shared" si="1"/>
        <v>0</v>
      </c>
      <c r="J80" s="554"/>
    </row>
    <row r="81" spans="1:10">
      <c r="A81" s="552"/>
      <c r="B81" s="549"/>
      <c r="C81" s="549"/>
      <c r="D81" s="549"/>
      <c r="E81" s="550"/>
      <c r="F81" s="550"/>
      <c r="G81" s="550"/>
      <c r="H81" s="551"/>
      <c r="I81" s="430">
        <f t="shared" si="1"/>
        <v>0</v>
      </c>
      <c r="J81" s="554"/>
    </row>
    <row r="82" spans="1:10">
      <c r="A82" s="552"/>
      <c r="B82" s="549"/>
      <c r="C82" s="549"/>
      <c r="D82" s="549"/>
      <c r="E82" s="550"/>
      <c r="F82" s="550"/>
      <c r="G82" s="550"/>
      <c r="H82" s="551"/>
      <c r="I82" s="430">
        <f t="shared" si="1"/>
        <v>0</v>
      </c>
      <c r="J82" s="554"/>
    </row>
    <row r="83" spans="1:10">
      <c r="A83" s="552"/>
      <c r="B83" s="549"/>
      <c r="C83" s="549"/>
      <c r="D83" s="549"/>
      <c r="E83" s="550"/>
      <c r="F83" s="550"/>
      <c r="G83" s="550"/>
      <c r="H83" s="551"/>
      <c r="I83" s="430">
        <f t="shared" si="1"/>
        <v>0</v>
      </c>
      <c r="J83" s="554"/>
    </row>
    <row r="84" spans="1:10">
      <c r="A84" s="552"/>
      <c r="B84" s="549"/>
      <c r="C84" s="549"/>
      <c r="D84" s="549"/>
      <c r="E84" s="550"/>
      <c r="F84" s="550"/>
      <c r="G84" s="550"/>
      <c r="H84" s="551"/>
      <c r="I84" s="430">
        <f t="shared" si="1"/>
        <v>0</v>
      </c>
      <c r="J84" s="554"/>
    </row>
    <row r="85" spans="1:10">
      <c r="A85" s="552"/>
      <c r="B85" s="549"/>
      <c r="C85" s="549"/>
      <c r="D85" s="549"/>
      <c r="E85" s="550"/>
      <c r="F85" s="550"/>
      <c r="G85" s="550"/>
      <c r="H85" s="551"/>
      <c r="I85" s="430">
        <f t="shared" si="1"/>
        <v>0</v>
      </c>
      <c r="J85" s="554"/>
    </row>
    <row r="86" spans="1:10">
      <c r="A86" s="552"/>
      <c r="B86" s="549"/>
      <c r="C86" s="549"/>
      <c r="D86" s="549"/>
      <c r="E86" s="550"/>
      <c r="F86" s="550"/>
      <c r="G86" s="550"/>
      <c r="H86" s="551"/>
      <c r="I86" s="430">
        <f t="shared" si="1"/>
        <v>0</v>
      </c>
      <c r="J86" s="554"/>
    </row>
    <row r="87" spans="1:10">
      <c r="A87" s="552"/>
      <c r="B87" s="549"/>
      <c r="C87" s="549"/>
      <c r="D87" s="549"/>
      <c r="E87" s="550"/>
      <c r="F87" s="550"/>
      <c r="G87" s="550"/>
      <c r="H87" s="551"/>
      <c r="I87" s="430">
        <f t="shared" si="1"/>
        <v>0</v>
      </c>
      <c r="J87" s="554"/>
    </row>
    <row r="88" spans="1:10">
      <c r="A88" s="552"/>
      <c r="B88" s="549"/>
      <c r="C88" s="549"/>
      <c r="D88" s="549"/>
      <c r="E88" s="550"/>
      <c r="F88" s="550"/>
      <c r="G88" s="550"/>
      <c r="H88" s="551"/>
      <c r="I88" s="430">
        <f t="shared" si="1"/>
        <v>0</v>
      </c>
      <c r="J88" s="554"/>
    </row>
    <row r="89" spans="1:10">
      <c r="A89" s="552"/>
      <c r="B89" s="549"/>
      <c r="C89" s="549"/>
      <c r="D89" s="549"/>
      <c r="E89" s="550"/>
      <c r="F89" s="550"/>
      <c r="G89" s="550"/>
      <c r="H89" s="551"/>
      <c r="I89" s="430">
        <f t="shared" si="1"/>
        <v>0</v>
      </c>
      <c r="J89" s="554"/>
    </row>
    <row r="90" spans="1:10">
      <c r="A90" s="552"/>
      <c r="B90" s="549"/>
      <c r="C90" s="549"/>
      <c r="D90" s="549"/>
      <c r="E90" s="550"/>
      <c r="F90" s="550"/>
      <c r="G90" s="550"/>
      <c r="H90" s="551"/>
      <c r="I90" s="430">
        <f t="shared" si="1"/>
        <v>0</v>
      </c>
      <c r="J90" s="554"/>
    </row>
    <row r="91" spans="1:10">
      <c r="A91" s="552"/>
      <c r="B91" s="549"/>
      <c r="C91" s="549"/>
      <c r="D91" s="549"/>
      <c r="E91" s="550"/>
      <c r="F91" s="550"/>
      <c r="G91" s="550"/>
      <c r="H91" s="551"/>
      <c r="I91" s="430">
        <f t="shared" si="1"/>
        <v>0</v>
      </c>
      <c r="J91" s="554"/>
    </row>
    <row r="92" spans="1:10">
      <c r="A92" s="552"/>
      <c r="B92" s="549"/>
      <c r="C92" s="549"/>
      <c r="D92" s="549"/>
      <c r="E92" s="550"/>
      <c r="F92" s="550"/>
      <c r="G92" s="550"/>
      <c r="H92" s="551"/>
      <c r="I92" s="430">
        <f t="shared" si="1"/>
        <v>0</v>
      </c>
      <c r="J92" s="554"/>
    </row>
    <row r="93" spans="1:10">
      <c r="A93" s="552"/>
      <c r="B93" s="549"/>
      <c r="C93" s="549"/>
      <c r="D93" s="549"/>
      <c r="E93" s="550"/>
      <c r="F93" s="550"/>
      <c r="G93" s="550"/>
      <c r="H93" s="551"/>
      <c r="I93" s="430">
        <f t="shared" si="1"/>
        <v>0</v>
      </c>
      <c r="J93" s="554"/>
    </row>
    <row r="94" spans="1:10">
      <c r="A94" s="552"/>
      <c r="B94" s="549"/>
      <c r="C94" s="549"/>
      <c r="D94" s="549"/>
      <c r="E94" s="550"/>
      <c r="F94" s="550"/>
      <c r="G94" s="550"/>
      <c r="H94" s="551"/>
      <c r="I94" s="430">
        <f t="shared" ref="I94:I102" si="2">H94*F94</f>
        <v>0</v>
      </c>
      <c r="J94" s="554"/>
    </row>
    <row r="95" spans="1:10">
      <c r="A95" s="552"/>
      <c r="B95" s="549"/>
      <c r="C95" s="549"/>
      <c r="D95" s="549"/>
      <c r="E95" s="550"/>
      <c r="F95" s="550"/>
      <c r="G95" s="550"/>
      <c r="H95" s="551"/>
      <c r="I95" s="430">
        <f t="shared" si="2"/>
        <v>0</v>
      </c>
      <c r="J95" s="554"/>
    </row>
    <row r="96" spans="1:10">
      <c r="A96" s="552"/>
      <c r="B96" s="549"/>
      <c r="C96" s="549"/>
      <c r="D96" s="549"/>
      <c r="E96" s="550"/>
      <c r="F96" s="550"/>
      <c r="G96" s="550"/>
      <c r="H96" s="551"/>
      <c r="I96" s="430">
        <f t="shared" si="2"/>
        <v>0</v>
      </c>
      <c r="J96" s="554"/>
    </row>
    <row r="97" spans="1:10">
      <c r="A97" s="552"/>
      <c r="B97" s="549"/>
      <c r="C97" s="549"/>
      <c r="D97" s="549"/>
      <c r="E97" s="550"/>
      <c r="F97" s="550"/>
      <c r="G97" s="550"/>
      <c r="H97" s="551"/>
      <c r="I97" s="430">
        <f t="shared" si="2"/>
        <v>0</v>
      </c>
      <c r="J97" s="554"/>
    </row>
    <row r="98" spans="1:10">
      <c r="A98" s="552"/>
      <c r="B98" s="549"/>
      <c r="C98" s="549"/>
      <c r="D98" s="549"/>
      <c r="E98" s="550"/>
      <c r="F98" s="550"/>
      <c r="G98" s="550"/>
      <c r="H98" s="551"/>
      <c r="I98" s="430">
        <f t="shared" si="2"/>
        <v>0</v>
      </c>
      <c r="J98" s="554"/>
    </row>
    <row r="99" spans="1:10">
      <c r="A99" s="552"/>
      <c r="B99" s="549"/>
      <c r="C99" s="549"/>
      <c r="D99" s="549"/>
      <c r="E99" s="550"/>
      <c r="F99" s="550"/>
      <c r="G99" s="550"/>
      <c r="H99" s="551"/>
      <c r="I99" s="430">
        <f t="shared" si="2"/>
        <v>0</v>
      </c>
      <c r="J99" s="554"/>
    </row>
    <row r="100" spans="1:10">
      <c r="A100" s="552"/>
      <c r="B100" s="549"/>
      <c r="C100" s="549"/>
      <c r="D100" s="549"/>
      <c r="E100" s="550"/>
      <c r="F100" s="550"/>
      <c r="G100" s="550"/>
      <c r="H100" s="551"/>
      <c r="I100" s="430">
        <f t="shared" si="2"/>
        <v>0</v>
      </c>
      <c r="J100" s="554"/>
    </row>
    <row r="101" spans="1:10">
      <c r="A101" s="552"/>
      <c r="B101" s="549"/>
      <c r="C101" s="549"/>
      <c r="D101" s="549"/>
      <c r="E101" s="550"/>
      <c r="F101" s="550"/>
      <c r="G101" s="550"/>
      <c r="H101" s="551"/>
      <c r="I101" s="430">
        <f t="shared" si="2"/>
        <v>0</v>
      </c>
      <c r="J101" s="554"/>
    </row>
    <row r="102" spans="1:10">
      <c r="A102" s="552"/>
      <c r="B102" s="549"/>
      <c r="C102" s="549"/>
      <c r="D102" s="549"/>
      <c r="E102" s="550"/>
      <c r="F102" s="550"/>
      <c r="G102" s="550"/>
      <c r="H102" s="551"/>
      <c r="I102" s="430">
        <f t="shared" si="2"/>
        <v>0</v>
      </c>
      <c r="J102" s="554"/>
    </row>
  </sheetData>
  <autoFilter ref="A2:J44" xr:uid="{00000000-0009-0000-0000-000013000000}"/>
  <sortState xmlns:xlrd2="http://schemas.microsoft.com/office/spreadsheetml/2017/richdata2" ref="A3:J29">
    <sortCondition ref="A2:A29"/>
  </sortState>
  <dataValidations count="3">
    <dataValidation type="list" allowBlank="1" showInputMessage="1" showErrorMessage="1" sqref="A3:A102" xr:uid="{00000000-0002-0000-1300-000000000000}">
      <formula1>MODULY</formula1>
    </dataValidation>
    <dataValidation type="list" allowBlank="1" showInputMessage="1" showErrorMessage="1" sqref="C3:C102" xr:uid="{00000000-0002-0000-1300-000001000000}">
      <formula1>"HW,SW, SW pre HW"</formula1>
    </dataValidation>
    <dataValidation type="list" allowBlank="1" showInputMessage="1" showErrorMessage="1" sqref="D3:D102" xr:uid="{00000000-0002-0000-1300-000002000000}">
      <formula1>"013 Softvér,022 Samostatné hnuteľné veci a súbory hnuteľných vecí,112 Zásoby"</formula1>
    </dataValidation>
  </dataValidations>
  <pageMargins left="0.7" right="0.7" top="0.75" bottom="0.75" header="0.3" footer="0.3"/>
  <pageSetup paperSize="9" scale="55"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16">
    <tabColor rgb="FF00B050"/>
  </sheetPr>
  <dimension ref="A1:J107"/>
  <sheetViews>
    <sheetView zoomScale="70" zoomScaleNormal="70" workbookViewId="0">
      <pane ySplit="2" topLeftCell="A3" activePane="bottomLeft" state="frozen"/>
      <selection activeCell="J3" sqref="J3:J11"/>
      <selection pane="bottomLeft" activeCell="G1" sqref="G1:J1"/>
    </sheetView>
  </sheetViews>
  <sheetFormatPr defaultColWidth="8.85546875" defaultRowHeight="15"/>
  <cols>
    <col min="1" max="1" width="3" style="365" customWidth="1"/>
    <col min="2" max="2" width="24.140625" style="365" customWidth="1"/>
    <col min="3" max="3" width="28.7109375" style="365" customWidth="1"/>
    <col min="4" max="6" width="13.85546875" style="365" customWidth="1"/>
    <col min="7" max="10" width="12.140625" style="365" customWidth="1"/>
    <col min="11" max="16384" width="8.85546875" style="365"/>
  </cols>
  <sheetData>
    <row r="1" spans="1:10">
      <c r="B1" s="367"/>
      <c r="C1" s="367"/>
      <c r="D1" s="367"/>
      <c r="E1" s="367"/>
      <c r="F1" s="367"/>
      <c r="G1" s="804" t="s">
        <v>302</v>
      </c>
      <c r="H1" s="804"/>
      <c r="I1" s="804"/>
      <c r="J1" s="804"/>
    </row>
    <row r="2" spans="1:10" s="369" customFormat="1" ht="30">
      <c r="A2" s="368" t="s">
        <v>271</v>
      </c>
      <c r="B2" s="368" t="s">
        <v>261</v>
      </c>
      <c r="C2" s="368" t="s">
        <v>262</v>
      </c>
      <c r="D2" s="523" t="s">
        <v>267</v>
      </c>
      <c r="E2" s="523" t="s">
        <v>299</v>
      </c>
      <c r="F2" s="523" t="s">
        <v>300</v>
      </c>
      <c r="G2" s="523" t="s">
        <v>268</v>
      </c>
      <c r="H2" s="468" t="s">
        <v>763</v>
      </c>
      <c r="I2" s="523" t="s">
        <v>270</v>
      </c>
      <c r="J2" s="523" t="s">
        <v>269</v>
      </c>
    </row>
    <row r="3" spans="1:10">
      <c r="A3" s="802">
        <v>1</v>
      </c>
      <c r="B3" s="803"/>
      <c r="C3" s="370" t="str">
        <f>IFERROR(IF(ISTEXT(B3),"Analýza a dizajn",""),)</f>
        <v/>
      </c>
      <c r="D3" s="370" t="str">
        <f>IFERROR(VLOOKUP(B3,MODULY_CBA!$B$3:$I$23,6,0),"")</f>
        <v/>
      </c>
      <c r="E3" s="371" t="str">
        <f>IFERROR(VLOOKUP(D3,INKREMENTY!$A$2:$F$21,2,0),"")</f>
        <v/>
      </c>
      <c r="F3" s="371" t="str">
        <f>IFERROR(VLOOKUP(D3,INKREMENTY!$A$2:$F$21,4,0),"")</f>
        <v/>
      </c>
      <c r="G3" s="370">
        <f>IFERROR(ROUND(((E3-$E$3)+1)/30,0)+1,)</f>
        <v>0</v>
      </c>
      <c r="H3" s="370">
        <f>G3-1</f>
        <v>-1</v>
      </c>
      <c r="I3" s="539"/>
      <c r="J3" s="370">
        <f>H3+I3</f>
        <v>-1</v>
      </c>
    </row>
    <row r="4" spans="1:10">
      <c r="A4" s="802"/>
      <c r="B4" s="803"/>
      <c r="C4" s="370" t="str">
        <f>IFERROR(IF(ISTEXT(B3),"Nákupo HW a krabicový SW",""),)</f>
        <v/>
      </c>
      <c r="D4" s="367"/>
      <c r="E4" s="367"/>
      <c r="F4" s="367"/>
      <c r="G4" s="539"/>
      <c r="H4" s="370">
        <f t="shared" ref="H4:H27" si="0">G4-1</f>
        <v>-1</v>
      </c>
      <c r="I4" s="539"/>
      <c r="J4" s="370">
        <f>H4+I4</f>
        <v>-1</v>
      </c>
    </row>
    <row r="5" spans="1:10">
      <c r="A5" s="802"/>
      <c r="B5" s="803"/>
      <c r="C5" s="370" t="str">
        <f>IFERROR(IF(ISTEXT(B3),"Implementácia",""),)</f>
        <v/>
      </c>
      <c r="D5" s="367"/>
      <c r="E5" s="367"/>
      <c r="F5" s="367"/>
      <c r="G5" s="539"/>
      <c r="H5" s="370">
        <f t="shared" si="0"/>
        <v>-1</v>
      </c>
      <c r="I5" s="539"/>
      <c r="J5" s="370">
        <f>H5+I5</f>
        <v>-1</v>
      </c>
    </row>
    <row r="6" spans="1:10">
      <c r="A6" s="802"/>
      <c r="B6" s="803"/>
      <c r="C6" s="370" t="str">
        <f>IFERROR(IF(ISTEXT(B3),"Testovanie",""),)</f>
        <v/>
      </c>
      <c r="D6" s="367"/>
      <c r="E6" s="367"/>
      <c r="F6" s="367"/>
      <c r="G6" s="539"/>
      <c r="H6" s="370">
        <f t="shared" si="0"/>
        <v>-1</v>
      </c>
      <c r="I6" s="539"/>
      <c r="J6" s="370">
        <f>H6+I6</f>
        <v>-1</v>
      </c>
    </row>
    <row r="7" spans="1:10">
      <c r="A7" s="802"/>
      <c r="B7" s="803"/>
      <c r="C7" s="370" t="str">
        <f>IFERROR(IF(ISTEXT(B3),"Nasadenie",""),)</f>
        <v/>
      </c>
      <c r="D7" s="367"/>
      <c r="E7" s="367"/>
      <c r="F7" s="367"/>
      <c r="G7" s="539"/>
      <c r="H7" s="370">
        <f t="shared" si="0"/>
        <v>-1</v>
      </c>
      <c r="I7" s="370">
        <f>J7-H7</f>
        <v>1</v>
      </c>
      <c r="J7" s="370">
        <f>IFERROR(ROUND((F3-$E$3+1)/30,0),)</f>
        <v>0</v>
      </c>
    </row>
    <row r="8" spans="1:10">
      <c r="A8" s="802">
        <v>2</v>
      </c>
      <c r="B8" s="803"/>
      <c r="C8" s="370" t="str">
        <f>IFERROR(IF(ISTEXT(B8),"Analýza a dizajn",""),)</f>
        <v/>
      </c>
      <c r="D8" s="370" t="str">
        <f>IFERROR(VLOOKUP(B8,MODULY_CBA!$B$3:$I$23,6,0),"")</f>
        <v/>
      </c>
      <c r="E8" s="371" t="str">
        <f>IFERROR(VLOOKUP(D8,INKREMENTY!$A$2:$F$21,2,0),"")</f>
        <v/>
      </c>
      <c r="F8" s="371" t="str">
        <f>IFERROR(VLOOKUP(D8,INKREMENTY!$A$2:$F$21,4,0),"")</f>
        <v/>
      </c>
      <c r="G8" s="370">
        <f>IFERROR(ROUND(((E8-$E$3)+1)/30,0)+1,)</f>
        <v>0</v>
      </c>
      <c r="H8" s="370">
        <f t="shared" si="0"/>
        <v>-1</v>
      </c>
      <c r="I8" s="539"/>
      <c r="J8" s="370">
        <f t="shared" ref="J8:J11" si="1">H8+I8</f>
        <v>-1</v>
      </c>
    </row>
    <row r="9" spans="1:10">
      <c r="A9" s="802"/>
      <c r="B9" s="803"/>
      <c r="C9" s="370" t="str">
        <f>IFERROR(IF(ISTEXT(B8),"Nákupo HW a krabicový SW",""),)</f>
        <v/>
      </c>
      <c r="D9" s="367"/>
      <c r="E9" s="367"/>
      <c r="F9" s="367"/>
      <c r="G9" s="539"/>
      <c r="H9" s="370">
        <f t="shared" ref="H9" si="2">G9-1</f>
        <v>-1</v>
      </c>
      <c r="I9" s="539"/>
      <c r="J9" s="370">
        <f t="shared" si="1"/>
        <v>-1</v>
      </c>
    </row>
    <row r="10" spans="1:10">
      <c r="A10" s="802"/>
      <c r="B10" s="803"/>
      <c r="C10" s="370" t="str">
        <f>IFERROR(IF(ISTEXT(B8),"Implementácia",""),)</f>
        <v/>
      </c>
      <c r="D10" s="367"/>
      <c r="E10" s="367"/>
      <c r="F10" s="367"/>
      <c r="G10" s="539"/>
      <c r="H10" s="370">
        <f t="shared" si="0"/>
        <v>-1</v>
      </c>
      <c r="I10" s="539"/>
      <c r="J10" s="370">
        <f t="shared" si="1"/>
        <v>-1</v>
      </c>
    </row>
    <row r="11" spans="1:10">
      <c r="A11" s="802"/>
      <c r="B11" s="803"/>
      <c r="C11" s="370" t="str">
        <f>IFERROR(IF(ISTEXT(B8),"Testovanie",""),)</f>
        <v/>
      </c>
      <c r="D11" s="367"/>
      <c r="E11" s="367"/>
      <c r="F11" s="367"/>
      <c r="G11" s="539"/>
      <c r="H11" s="370">
        <f t="shared" si="0"/>
        <v>-1</v>
      </c>
      <c r="I11" s="539"/>
      <c r="J11" s="370">
        <f t="shared" si="1"/>
        <v>-1</v>
      </c>
    </row>
    <row r="12" spans="1:10">
      <c r="A12" s="802"/>
      <c r="B12" s="803"/>
      <c r="C12" s="370" t="str">
        <f>IFERROR(IF(ISTEXT(B8),"Nasadenie",""),)</f>
        <v/>
      </c>
      <c r="D12" s="367"/>
      <c r="E12" s="367"/>
      <c r="F12" s="367"/>
      <c r="G12" s="539"/>
      <c r="H12" s="370">
        <f t="shared" si="0"/>
        <v>-1</v>
      </c>
      <c r="I12" s="370">
        <f>J12-H12</f>
        <v>1</v>
      </c>
      <c r="J12" s="370">
        <f>IFERROR(ROUND((F8-$E$3+1)/30,0),)</f>
        <v>0</v>
      </c>
    </row>
    <row r="13" spans="1:10">
      <c r="A13" s="802">
        <v>3</v>
      </c>
      <c r="B13" s="803"/>
      <c r="C13" s="370" t="str">
        <f>IFERROR(IF(ISTEXT(B13),"Analýza a dizajn",""),)</f>
        <v/>
      </c>
      <c r="D13" s="370" t="str">
        <f>IFERROR(VLOOKUP(B13,MODULY_CBA!$B$3:$I$23,6,0),"")</f>
        <v/>
      </c>
      <c r="E13" s="371" t="str">
        <f>IFERROR(VLOOKUP(D13,INKREMENTY!$A$2:$F$21,2,0),"")</f>
        <v/>
      </c>
      <c r="F13" s="371" t="str">
        <f>IFERROR(VLOOKUP(D13,INKREMENTY!$A$2:$F$21,4,0),"")</f>
        <v/>
      </c>
      <c r="G13" s="370">
        <f>IFERROR(ROUND(((E13-$E$3)+1)/30,0)+1,)</f>
        <v>0</v>
      </c>
      <c r="H13" s="370">
        <f t="shared" si="0"/>
        <v>-1</v>
      </c>
      <c r="I13" s="539"/>
      <c r="J13" s="370">
        <f t="shared" ref="J13:J16" si="3">H13+I13</f>
        <v>-1</v>
      </c>
    </row>
    <row r="14" spans="1:10">
      <c r="A14" s="802"/>
      <c r="B14" s="803"/>
      <c r="C14" s="370" t="str">
        <f>IFERROR(IF(ISTEXT(B13),"Nákupo HW a krabicový SW",""),)</f>
        <v/>
      </c>
      <c r="D14" s="367"/>
      <c r="E14" s="367"/>
      <c r="F14" s="367"/>
      <c r="G14" s="539"/>
      <c r="H14" s="370">
        <f t="shared" ref="H14" si="4">G14-1</f>
        <v>-1</v>
      </c>
      <c r="I14" s="539"/>
      <c r="J14" s="370">
        <f t="shared" si="3"/>
        <v>-1</v>
      </c>
    </row>
    <row r="15" spans="1:10">
      <c r="A15" s="802"/>
      <c r="B15" s="803"/>
      <c r="C15" s="370" t="str">
        <f>IFERROR(IF(ISTEXT(B13),"Implementácia",""),)</f>
        <v/>
      </c>
      <c r="D15" s="367"/>
      <c r="E15" s="367"/>
      <c r="F15" s="367"/>
      <c r="G15" s="539"/>
      <c r="H15" s="370">
        <f t="shared" si="0"/>
        <v>-1</v>
      </c>
      <c r="I15" s="539"/>
      <c r="J15" s="370">
        <f t="shared" si="3"/>
        <v>-1</v>
      </c>
    </row>
    <row r="16" spans="1:10">
      <c r="A16" s="802"/>
      <c r="B16" s="803"/>
      <c r="C16" s="370" t="str">
        <f>IFERROR(IF(ISTEXT(B13),"Testovanie",""),)</f>
        <v/>
      </c>
      <c r="D16" s="367"/>
      <c r="E16" s="367"/>
      <c r="F16" s="367"/>
      <c r="G16" s="539"/>
      <c r="H16" s="370">
        <f t="shared" si="0"/>
        <v>-1</v>
      </c>
      <c r="I16" s="539"/>
      <c r="J16" s="370">
        <f t="shared" si="3"/>
        <v>-1</v>
      </c>
    </row>
    <row r="17" spans="1:10">
      <c r="A17" s="802"/>
      <c r="B17" s="803"/>
      <c r="C17" s="370" t="str">
        <f>IFERROR(IF(ISTEXT(B13),"Nasadenie",""),)</f>
        <v/>
      </c>
      <c r="D17" s="367"/>
      <c r="E17" s="367"/>
      <c r="F17" s="367"/>
      <c r="G17" s="539"/>
      <c r="H17" s="370">
        <f t="shared" si="0"/>
        <v>-1</v>
      </c>
      <c r="I17" s="370">
        <f>J17-H17</f>
        <v>1</v>
      </c>
      <c r="J17" s="370">
        <f>IFERROR(ROUND((F13-$E$3+1)/30,0),)</f>
        <v>0</v>
      </c>
    </row>
    <row r="18" spans="1:10">
      <c r="A18" s="802">
        <v>4</v>
      </c>
      <c r="B18" s="803"/>
      <c r="C18" s="370" t="str">
        <f>IFERROR(IF(ISTEXT(B18),"Analýza a dizajn",""),)</f>
        <v/>
      </c>
      <c r="D18" s="370" t="str">
        <f>IFERROR(VLOOKUP(B18,MODULY_CBA!$B$3:$I$23,6,0),"")</f>
        <v/>
      </c>
      <c r="E18" s="371" t="str">
        <f>IFERROR(VLOOKUP(D18,INKREMENTY!$A$2:$F$21,2,0),"")</f>
        <v/>
      </c>
      <c r="F18" s="371" t="str">
        <f>IFERROR(VLOOKUP(D18,INKREMENTY!$A$2:$F$21,4,0),"")</f>
        <v/>
      </c>
      <c r="G18" s="370">
        <f>IFERROR(ROUND(((E18-$E$3)+1)/30,0)+1,)</f>
        <v>0</v>
      </c>
      <c r="H18" s="370">
        <f t="shared" si="0"/>
        <v>-1</v>
      </c>
      <c r="I18" s="539"/>
      <c r="J18" s="370">
        <f t="shared" ref="J18:J21" si="5">H18+I18</f>
        <v>-1</v>
      </c>
    </row>
    <row r="19" spans="1:10">
      <c r="A19" s="802"/>
      <c r="B19" s="803"/>
      <c r="C19" s="370" t="str">
        <f>IFERROR(IF(ISTEXT(B18),"Nákupo HW a krabicový SW",""),)</f>
        <v/>
      </c>
      <c r="D19" s="367"/>
      <c r="E19" s="367"/>
      <c r="F19" s="367"/>
      <c r="G19" s="539"/>
      <c r="H19" s="370">
        <f t="shared" ref="H19" si="6">G19-1</f>
        <v>-1</v>
      </c>
      <c r="I19" s="539"/>
      <c r="J19" s="370">
        <f t="shared" si="5"/>
        <v>-1</v>
      </c>
    </row>
    <row r="20" spans="1:10">
      <c r="A20" s="802"/>
      <c r="B20" s="803"/>
      <c r="C20" s="370" t="str">
        <f>IFERROR(IF(ISTEXT(B18),"Implementácia",""),)</f>
        <v/>
      </c>
      <c r="D20" s="367"/>
      <c r="E20" s="367"/>
      <c r="F20" s="367"/>
      <c r="G20" s="539"/>
      <c r="H20" s="370">
        <f t="shared" si="0"/>
        <v>-1</v>
      </c>
      <c r="I20" s="539"/>
      <c r="J20" s="370">
        <f t="shared" si="5"/>
        <v>-1</v>
      </c>
    </row>
    <row r="21" spans="1:10">
      <c r="A21" s="802"/>
      <c r="B21" s="803"/>
      <c r="C21" s="370" t="str">
        <f>IFERROR(IF(ISTEXT(B18),"Testovanie",""),)</f>
        <v/>
      </c>
      <c r="D21" s="367"/>
      <c r="E21" s="367"/>
      <c r="F21" s="367"/>
      <c r="G21" s="539"/>
      <c r="H21" s="370">
        <f t="shared" si="0"/>
        <v>-1</v>
      </c>
      <c r="I21" s="539"/>
      <c r="J21" s="370">
        <f t="shared" si="5"/>
        <v>-1</v>
      </c>
    </row>
    <row r="22" spans="1:10">
      <c r="A22" s="802"/>
      <c r="B22" s="803"/>
      <c r="C22" s="370" t="str">
        <f>IFERROR(IF(ISTEXT(B18),"Nasadenie",""),)</f>
        <v/>
      </c>
      <c r="D22" s="367"/>
      <c r="E22" s="367"/>
      <c r="F22" s="367"/>
      <c r="G22" s="539"/>
      <c r="H22" s="370">
        <f t="shared" si="0"/>
        <v>-1</v>
      </c>
      <c r="I22" s="370">
        <f>J22-H22</f>
        <v>1</v>
      </c>
      <c r="J22" s="370">
        <f>IFERROR(ROUND((F18-$E$3+1)/30,0),)</f>
        <v>0</v>
      </c>
    </row>
    <row r="23" spans="1:10">
      <c r="A23" s="802">
        <v>5</v>
      </c>
      <c r="B23" s="803"/>
      <c r="C23" s="370" t="str">
        <f>IFERROR(IF(ISTEXT(B23),"Analýza a dizajn",""),)</f>
        <v/>
      </c>
      <c r="D23" s="370" t="str">
        <f>IFERROR(VLOOKUP(B23,MODULY_CBA!$B$3:$I$23,6,0),"")</f>
        <v/>
      </c>
      <c r="E23" s="371" t="str">
        <f>IFERROR(VLOOKUP(D23,INKREMENTY!$A$2:$F$21,2,0),"")</f>
        <v/>
      </c>
      <c r="F23" s="371" t="str">
        <f>IFERROR(VLOOKUP(D23,INKREMENTY!$A$2:$F$21,4,0),"")</f>
        <v/>
      </c>
      <c r="G23" s="370">
        <f>IFERROR(ROUND(((E23-$E$3)+1)/30,0)+1,)</f>
        <v>0</v>
      </c>
      <c r="H23" s="370">
        <f t="shared" si="0"/>
        <v>-1</v>
      </c>
      <c r="I23" s="539"/>
      <c r="J23" s="370">
        <f t="shared" ref="J23:J26" si="7">H23+I23</f>
        <v>-1</v>
      </c>
    </row>
    <row r="24" spans="1:10">
      <c r="A24" s="802"/>
      <c r="B24" s="803"/>
      <c r="C24" s="370" t="str">
        <f>IFERROR(IF(ISTEXT(B23),"Nákupo HW a krabicový SW",""),)</f>
        <v/>
      </c>
      <c r="D24" s="367"/>
      <c r="E24" s="367"/>
      <c r="F24" s="367"/>
      <c r="G24" s="539"/>
      <c r="H24" s="370">
        <f t="shared" ref="H24" si="8">G24-1</f>
        <v>-1</v>
      </c>
      <c r="I24" s="539"/>
      <c r="J24" s="370">
        <f t="shared" si="7"/>
        <v>-1</v>
      </c>
    </row>
    <row r="25" spans="1:10">
      <c r="A25" s="802"/>
      <c r="B25" s="803"/>
      <c r="C25" s="370" t="str">
        <f>IFERROR(IF(ISTEXT(B23),"Implementácia",""),)</f>
        <v/>
      </c>
      <c r="D25" s="367"/>
      <c r="E25" s="367"/>
      <c r="F25" s="367"/>
      <c r="G25" s="539"/>
      <c r="H25" s="370">
        <f t="shared" si="0"/>
        <v>-1</v>
      </c>
      <c r="I25" s="539"/>
      <c r="J25" s="370">
        <f t="shared" si="7"/>
        <v>-1</v>
      </c>
    </row>
    <row r="26" spans="1:10">
      <c r="A26" s="802"/>
      <c r="B26" s="803"/>
      <c r="C26" s="370" t="str">
        <f>IFERROR(IF(ISTEXT(B23),"Testovanie",""),)</f>
        <v/>
      </c>
      <c r="D26" s="367"/>
      <c r="E26" s="367"/>
      <c r="F26" s="367"/>
      <c r="G26" s="539"/>
      <c r="H26" s="370">
        <f t="shared" si="0"/>
        <v>-1</v>
      </c>
      <c r="I26" s="539"/>
      <c r="J26" s="370">
        <f t="shared" si="7"/>
        <v>-1</v>
      </c>
    </row>
    <row r="27" spans="1:10">
      <c r="A27" s="802"/>
      <c r="B27" s="803"/>
      <c r="C27" s="370" t="str">
        <f>IFERROR(IF(ISTEXT(B23),"Nasadenie",""),)</f>
        <v/>
      </c>
      <c r="D27" s="367"/>
      <c r="E27" s="367"/>
      <c r="F27" s="367"/>
      <c r="G27" s="539"/>
      <c r="H27" s="370">
        <f t="shared" si="0"/>
        <v>-1</v>
      </c>
      <c r="I27" s="370">
        <f>J27-H27</f>
        <v>1</v>
      </c>
      <c r="J27" s="370">
        <f>IFERROR(ROUND((F23-$E$3+1)/30,0),)</f>
        <v>0</v>
      </c>
    </row>
    <row r="28" spans="1:10">
      <c r="A28" s="802">
        <v>6</v>
      </c>
      <c r="B28" s="803"/>
      <c r="C28" s="370" t="str">
        <f>IFERROR(IF(ISTEXT(B28),"Analýza a dizajn",""),)</f>
        <v/>
      </c>
      <c r="D28" s="370" t="str">
        <f>IFERROR(VLOOKUP(B28,MODULY_CBA!$B$3:$I$23,6,0),"")</f>
        <v/>
      </c>
      <c r="E28" s="371" t="str">
        <f>IFERROR(VLOOKUP(D28,INKREMENTY!$A$2:$F$21,2,0),"")</f>
        <v/>
      </c>
      <c r="F28" s="371" t="str">
        <f>IFERROR(VLOOKUP(D28,INKREMENTY!$A$2:$F$21,4,0),"")</f>
        <v/>
      </c>
      <c r="G28" s="370">
        <f>IFERROR(ROUND(((E28-$E$3)+1)/30,0)+1,)</f>
        <v>0</v>
      </c>
      <c r="H28" s="370">
        <f t="shared" ref="H28:H91" si="9">G28-1</f>
        <v>-1</v>
      </c>
      <c r="I28" s="539"/>
      <c r="J28" s="370">
        <f t="shared" ref="J28:J31" si="10">H28+I28</f>
        <v>-1</v>
      </c>
    </row>
    <row r="29" spans="1:10">
      <c r="A29" s="802"/>
      <c r="B29" s="803"/>
      <c r="C29" s="370" t="str">
        <f>IFERROR(IF(ISTEXT(B28),"Nákupo HW a krabicový SW",""),)</f>
        <v/>
      </c>
      <c r="D29" s="367"/>
      <c r="E29" s="367"/>
      <c r="F29" s="367"/>
      <c r="G29" s="539"/>
      <c r="H29" s="370">
        <f t="shared" si="9"/>
        <v>-1</v>
      </c>
      <c r="I29" s="539"/>
      <c r="J29" s="370">
        <f t="shared" si="10"/>
        <v>-1</v>
      </c>
    </row>
    <row r="30" spans="1:10">
      <c r="A30" s="802"/>
      <c r="B30" s="803"/>
      <c r="C30" s="370" t="str">
        <f>IFERROR(IF(ISTEXT(B28),"Implementácia",""),)</f>
        <v/>
      </c>
      <c r="D30" s="367"/>
      <c r="E30" s="367"/>
      <c r="F30" s="367"/>
      <c r="G30" s="539"/>
      <c r="H30" s="370">
        <f t="shared" si="9"/>
        <v>-1</v>
      </c>
      <c r="I30" s="539"/>
      <c r="J30" s="370">
        <f t="shared" si="10"/>
        <v>-1</v>
      </c>
    </row>
    <row r="31" spans="1:10">
      <c r="A31" s="802"/>
      <c r="B31" s="803"/>
      <c r="C31" s="370" t="str">
        <f>IFERROR(IF(ISTEXT(B28),"Testovanie",""),)</f>
        <v/>
      </c>
      <c r="D31" s="367"/>
      <c r="E31" s="367"/>
      <c r="F31" s="367"/>
      <c r="G31" s="539"/>
      <c r="H31" s="370">
        <f t="shared" si="9"/>
        <v>-1</v>
      </c>
      <c r="I31" s="539"/>
      <c r="J31" s="370">
        <f t="shared" si="10"/>
        <v>-1</v>
      </c>
    </row>
    <row r="32" spans="1:10">
      <c r="A32" s="802"/>
      <c r="B32" s="803"/>
      <c r="C32" s="370" t="str">
        <f>IFERROR(IF(ISTEXT(B28),"Nasadenie",""),)</f>
        <v/>
      </c>
      <c r="D32" s="367"/>
      <c r="E32" s="367"/>
      <c r="F32" s="367"/>
      <c r="G32" s="539"/>
      <c r="H32" s="370">
        <f t="shared" si="9"/>
        <v>-1</v>
      </c>
      <c r="I32" s="370">
        <f>J32-H32</f>
        <v>1</v>
      </c>
      <c r="J32" s="370">
        <f>IFERROR(ROUND((F28-$E$3+1)/30,0),)</f>
        <v>0</v>
      </c>
    </row>
    <row r="33" spans="1:10">
      <c r="A33" s="802">
        <v>7</v>
      </c>
      <c r="B33" s="803"/>
      <c r="C33" s="370" t="str">
        <f>IFERROR(IF(ISTEXT(B33),"Analýza a dizajn",""),)</f>
        <v/>
      </c>
      <c r="D33" s="370" t="str">
        <f>IFERROR(VLOOKUP(B33,MODULY_CBA!$B$3:$I$23,6,0),"")</f>
        <v/>
      </c>
      <c r="E33" s="371" t="str">
        <f>IFERROR(VLOOKUP(D33,INKREMENTY!$A$2:$F$21,2,0),"")</f>
        <v/>
      </c>
      <c r="F33" s="371" t="str">
        <f>IFERROR(VLOOKUP(D33,INKREMENTY!$A$2:$F$21,4,0),"")</f>
        <v/>
      </c>
      <c r="G33" s="370">
        <f>IFERROR(ROUND(((E33-$E$3)+1)/30,0)+1,)</f>
        <v>0</v>
      </c>
      <c r="H33" s="370">
        <f t="shared" si="9"/>
        <v>-1</v>
      </c>
      <c r="I33" s="539"/>
      <c r="J33" s="370">
        <f t="shared" ref="J33:J36" si="11">H33+I33</f>
        <v>-1</v>
      </c>
    </row>
    <row r="34" spans="1:10">
      <c r="A34" s="802"/>
      <c r="B34" s="803"/>
      <c r="C34" s="370" t="str">
        <f>IFERROR(IF(ISTEXT(B33),"Nákupo HW a krabicový SW",""),)</f>
        <v/>
      </c>
      <c r="D34" s="367"/>
      <c r="E34" s="367"/>
      <c r="F34" s="367"/>
      <c r="G34" s="539"/>
      <c r="H34" s="370">
        <f t="shared" si="9"/>
        <v>-1</v>
      </c>
      <c r="I34" s="539"/>
      <c r="J34" s="370">
        <f t="shared" si="11"/>
        <v>-1</v>
      </c>
    </row>
    <row r="35" spans="1:10">
      <c r="A35" s="802"/>
      <c r="B35" s="803"/>
      <c r="C35" s="370" t="str">
        <f>IFERROR(IF(ISTEXT(B33),"Implementácia",""),)</f>
        <v/>
      </c>
      <c r="D35" s="367"/>
      <c r="E35" s="367"/>
      <c r="F35" s="367"/>
      <c r="G35" s="539"/>
      <c r="H35" s="370">
        <f t="shared" si="9"/>
        <v>-1</v>
      </c>
      <c r="I35" s="539"/>
      <c r="J35" s="370">
        <f t="shared" si="11"/>
        <v>-1</v>
      </c>
    </row>
    <row r="36" spans="1:10">
      <c r="A36" s="802"/>
      <c r="B36" s="803"/>
      <c r="C36" s="370" t="str">
        <f>IFERROR(IF(ISTEXT(B33),"Testovanie",""),)</f>
        <v/>
      </c>
      <c r="D36" s="367"/>
      <c r="E36" s="367"/>
      <c r="F36" s="367"/>
      <c r="G36" s="539"/>
      <c r="H36" s="370">
        <f t="shared" si="9"/>
        <v>-1</v>
      </c>
      <c r="I36" s="539"/>
      <c r="J36" s="370">
        <f t="shared" si="11"/>
        <v>-1</v>
      </c>
    </row>
    <row r="37" spans="1:10">
      <c r="A37" s="802"/>
      <c r="B37" s="803"/>
      <c r="C37" s="370" t="str">
        <f>IFERROR(IF(ISTEXT(B33),"Nasadenie",""),)</f>
        <v/>
      </c>
      <c r="D37" s="367"/>
      <c r="E37" s="367"/>
      <c r="F37" s="367"/>
      <c r="G37" s="539"/>
      <c r="H37" s="370">
        <f t="shared" si="9"/>
        <v>-1</v>
      </c>
      <c r="I37" s="370">
        <f>J37-H37</f>
        <v>1</v>
      </c>
      <c r="J37" s="370">
        <f>IFERROR(ROUND((F33-$E$3+1)/30,0),)</f>
        <v>0</v>
      </c>
    </row>
    <row r="38" spans="1:10">
      <c r="A38" s="802">
        <v>8</v>
      </c>
      <c r="B38" s="803"/>
      <c r="C38" s="370" t="str">
        <f>IFERROR(IF(ISTEXT(B38),"Analýza a dizajn",""),)</f>
        <v/>
      </c>
      <c r="D38" s="370" t="str">
        <f>IFERROR(VLOOKUP(B38,MODULY_CBA!$B$3:$I$23,6,0),"")</f>
        <v/>
      </c>
      <c r="E38" s="371" t="str">
        <f>IFERROR(VLOOKUP(D38,INKREMENTY!$A$2:$F$21,2,0),"")</f>
        <v/>
      </c>
      <c r="F38" s="371" t="str">
        <f>IFERROR(VLOOKUP(D38,INKREMENTY!$A$2:$F$21,4,0),"")</f>
        <v/>
      </c>
      <c r="G38" s="370">
        <f>IFERROR(ROUND(((E38-$E$3)+1)/30,0)+1,)</f>
        <v>0</v>
      </c>
      <c r="H38" s="370">
        <f t="shared" si="9"/>
        <v>-1</v>
      </c>
      <c r="I38" s="539"/>
      <c r="J38" s="370">
        <f t="shared" ref="J38:J41" si="12">H38+I38</f>
        <v>-1</v>
      </c>
    </row>
    <row r="39" spans="1:10">
      <c r="A39" s="802"/>
      <c r="B39" s="803"/>
      <c r="C39" s="370" t="str">
        <f>IFERROR(IF(ISTEXT(B38),"Nákupo HW a krabicový SW",""),)</f>
        <v/>
      </c>
      <c r="D39" s="367"/>
      <c r="E39" s="367"/>
      <c r="F39" s="367"/>
      <c r="G39" s="539"/>
      <c r="H39" s="370">
        <f t="shared" si="9"/>
        <v>-1</v>
      </c>
      <c r="I39" s="539"/>
      <c r="J39" s="370">
        <f t="shared" si="12"/>
        <v>-1</v>
      </c>
    </row>
    <row r="40" spans="1:10">
      <c r="A40" s="802"/>
      <c r="B40" s="803"/>
      <c r="C40" s="370" t="str">
        <f>IFERROR(IF(ISTEXT(B38),"Implementácia",""),)</f>
        <v/>
      </c>
      <c r="D40" s="367"/>
      <c r="E40" s="367"/>
      <c r="F40" s="367"/>
      <c r="G40" s="539"/>
      <c r="H40" s="370">
        <f t="shared" si="9"/>
        <v>-1</v>
      </c>
      <c r="I40" s="539"/>
      <c r="J40" s="370">
        <f t="shared" si="12"/>
        <v>-1</v>
      </c>
    </row>
    <row r="41" spans="1:10">
      <c r="A41" s="802"/>
      <c r="B41" s="803"/>
      <c r="C41" s="370" t="str">
        <f>IFERROR(IF(ISTEXT(B38),"Testovanie",""),)</f>
        <v/>
      </c>
      <c r="D41" s="367"/>
      <c r="E41" s="367"/>
      <c r="F41" s="367"/>
      <c r="G41" s="539"/>
      <c r="H41" s="370">
        <f t="shared" si="9"/>
        <v>-1</v>
      </c>
      <c r="I41" s="539"/>
      <c r="J41" s="370">
        <f t="shared" si="12"/>
        <v>-1</v>
      </c>
    </row>
    <row r="42" spans="1:10">
      <c r="A42" s="802"/>
      <c r="B42" s="803"/>
      <c r="C42" s="370" t="str">
        <f>IFERROR(IF(ISTEXT(B38),"Nasadenie",""),)</f>
        <v/>
      </c>
      <c r="D42" s="367"/>
      <c r="E42" s="367"/>
      <c r="F42" s="367"/>
      <c r="G42" s="539"/>
      <c r="H42" s="370">
        <f t="shared" si="9"/>
        <v>-1</v>
      </c>
      <c r="I42" s="370">
        <f>J42-H42</f>
        <v>1</v>
      </c>
      <c r="J42" s="370">
        <f>IFERROR(ROUND((F38-$E$3+1)/30,0),)</f>
        <v>0</v>
      </c>
    </row>
    <row r="43" spans="1:10">
      <c r="A43" s="802">
        <v>9</v>
      </c>
      <c r="B43" s="803"/>
      <c r="C43" s="370" t="str">
        <f>IFERROR(IF(ISTEXT(B43),"Analýza a dizajn",""),)</f>
        <v/>
      </c>
      <c r="D43" s="370" t="str">
        <f>IFERROR(VLOOKUP(B43,MODULY_CBA!$B$3:$I$23,6,0),"")</f>
        <v/>
      </c>
      <c r="E43" s="371" t="str">
        <f>IFERROR(VLOOKUP(D43,INKREMENTY!$A$2:$F$21,2,0),"")</f>
        <v/>
      </c>
      <c r="F43" s="371" t="str">
        <f>IFERROR(VLOOKUP(D43,INKREMENTY!$A$2:$F$21,4,0),"")</f>
        <v/>
      </c>
      <c r="G43" s="370">
        <f>IFERROR(ROUND(((E43-$E$3)+1)/30,0)+1,)</f>
        <v>0</v>
      </c>
      <c r="H43" s="370">
        <f t="shared" si="9"/>
        <v>-1</v>
      </c>
      <c r="I43" s="539"/>
      <c r="J43" s="370">
        <f t="shared" ref="J43:J46" si="13">H43+I43</f>
        <v>-1</v>
      </c>
    </row>
    <row r="44" spans="1:10">
      <c r="A44" s="802"/>
      <c r="B44" s="803"/>
      <c r="C44" s="370" t="str">
        <f>IFERROR(IF(ISTEXT(B43),"Nákupo HW a krabicový SW",""),)</f>
        <v/>
      </c>
      <c r="D44" s="367"/>
      <c r="E44" s="367"/>
      <c r="F44" s="367"/>
      <c r="G44" s="539"/>
      <c r="H44" s="370">
        <f t="shared" si="9"/>
        <v>-1</v>
      </c>
      <c r="I44" s="539"/>
      <c r="J44" s="370">
        <f t="shared" si="13"/>
        <v>-1</v>
      </c>
    </row>
    <row r="45" spans="1:10">
      <c r="A45" s="802"/>
      <c r="B45" s="803"/>
      <c r="C45" s="370" t="str">
        <f>IFERROR(IF(ISTEXT(B43),"Implementácia",""),)</f>
        <v/>
      </c>
      <c r="D45" s="367"/>
      <c r="E45" s="367"/>
      <c r="F45" s="367"/>
      <c r="G45" s="539"/>
      <c r="H45" s="370">
        <f t="shared" si="9"/>
        <v>-1</v>
      </c>
      <c r="I45" s="539"/>
      <c r="J45" s="370">
        <f t="shared" si="13"/>
        <v>-1</v>
      </c>
    </row>
    <row r="46" spans="1:10">
      <c r="A46" s="802"/>
      <c r="B46" s="803"/>
      <c r="C46" s="370" t="str">
        <f>IFERROR(IF(ISTEXT(B43),"Testovanie",""),)</f>
        <v/>
      </c>
      <c r="D46" s="367"/>
      <c r="E46" s="367"/>
      <c r="F46" s="367"/>
      <c r="G46" s="539"/>
      <c r="H46" s="370">
        <f t="shared" si="9"/>
        <v>-1</v>
      </c>
      <c r="I46" s="539"/>
      <c r="J46" s="370">
        <f t="shared" si="13"/>
        <v>-1</v>
      </c>
    </row>
    <row r="47" spans="1:10">
      <c r="A47" s="802"/>
      <c r="B47" s="803"/>
      <c r="C47" s="370" t="str">
        <f>IFERROR(IF(ISTEXT(B43),"Nasadenie",""),)</f>
        <v/>
      </c>
      <c r="D47" s="367"/>
      <c r="E47" s="367"/>
      <c r="F47" s="367"/>
      <c r="G47" s="539"/>
      <c r="H47" s="370">
        <f t="shared" si="9"/>
        <v>-1</v>
      </c>
      <c r="I47" s="370">
        <f>J47-H47</f>
        <v>1</v>
      </c>
      <c r="J47" s="370">
        <f>IFERROR(ROUND((F43-$E$3+1)/30,0),)</f>
        <v>0</v>
      </c>
    </row>
    <row r="48" spans="1:10">
      <c r="A48" s="802">
        <v>10</v>
      </c>
      <c r="B48" s="803"/>
      <c r="C48" s="370" t="str">
        <f>IFERROR(IF(ISTEXT(B48),"Analýza a dizajn",""),)</f>
        <v/>
      </c>
      <c r="D48" s="370" t="str">
        <f>IFERROR(VLOOKUP(B48,MODULY_CBA!$B$3:$I$23,6,0),"")</f>
        <v/>
      </c>
      <c r="E48" s="371" t="str">
        <f>IFERROR(VLOOKUP(D48,INKREMENTY!$A$2:$F$21,2,0),"")</f>
        <v/>
      </c>
      <c r="F48" s="371" t="str">
        <f>IFERROR(VLOOKUP(D48,INKREMENTY!$A$2:$F$21,4,0),"")</f>
        <v/>
      </c>
      <c r="G48" s="370">
        <f>IFERROR(ROUND(((E48-$E$3)+1)/30,0)+1,)</f>
        <v>0</v>
      </c>
      <c r="H48" s="370">
        <f t="shared" si="9"/>
        <v>-1</v>
      </c>
      <c r="I48" s="539"/>
      <c r="J48" s="370">
        <f t="shared" ref="J48:J51" si="14">H48+I48</f>
        <v>-1</v>
      </c>
    </row>
    <row r="49" spans="1:10">
      <c r="A49" s="802"/>
      <c r="B49" s="803"/>
      <c r="C49" s="370" t="str">
        <f>IFERROR(IF(ISTEXT(B48),"Nákupo HW a krabicový SW",""),)</f>
        <v/>
      </c>
      <c r="D49" s="367"/>
      <c r="E49" s="367"/>
      <c r="F49" s="367"/>
      <c r="G49" s="539"/>
      <c r="H49" s="370">
        <f t="shared" si="9"/>
        <v>-1</v>
      </c>
      <c r="I49" s="539"/>
      <c r="J49" s="370">
        <f t="shared" si="14"/>
        <v>-1</v>
      </c>
    </row>
    <row r="50" spans="1:10">
      <c r="A50" s="802"/>
      <c r="B50" s="803"/>
      <c r="C50" s="370" t="str">
        <f>IFERROR(IF(ISTEXT(B48),"Implementácia",""),)</f>
        <v/>
      </c>
      <c r="D50" s="367"/>
      <c r="E50" s="367"/>
      <c r="F50" s="367"/>
      <c r="G50" s="539"/>
      <c r="H50" s="370">
        <f t="shared" si="9"/>
        <v>-1</v>
      </c>
      <c r="I50" s="539"/>
      <c r="J50" s="370">
        <f t="shared" si="14"/>
        <v>-1</v>
      </c>
    </row>
    <row r="51" spans="1:10">
      <c r="A51" s="802"/>
      <c r="B51" s="803"/>
      <c r="C51" s="370" t="str">
        <f>IFERROR(IF(ISTEXT(B48),"Testovanie",""),)</f>
        <v/>
      </c>
      <c r="D51" s="367"/>
      <c r="E51" s="367"/>
      <c r="F51" s="367"/>
      <c r="G51" s="539"/>
      <c r="H51" s="370">
        <f t="shared" si="9"/>
        <v>-1</v>
      </c>
      <c r="I51" s="539"/>
      <c r="J51" s="370">
        <f t="shared" si="14"/>
        <v>-1</v>
      </c>
    </row>
    <row r="52" spans="1:10">
      <c r="A52" s="802"/>
      <c r="B52" s="803"/>
      <c r="C52" s="370" t="str">
        <f>IFERROR(IF(ISTEXT(B48),"Nasadenie",""),)</f>
        <v/>
      </c>
      <c r="D52" s="367"/>
      <c r="E52" s="367"/>
      <c r="F52" s="367"/>
      <c r="G52" s="539"/>
      <c r="H52" s="370">
        <f t="shared" si="9"/>
        <v>-1</v>
      </c>
      <c r="I52" s="370">
        <f>J52-H52</f>
        <v>1</v>
      </c>
      <c r="J52" s="370">
        <f>IFERROR(ROUND((F48-$E$3+1)/30,0),)</f>
        <v>0</v>
      </c>
    </row>
    <row r="53" spans="1:10">
      <c r="A53" s="802">
        <v>11</v>
      </c>
      <c r="B53" s="803"/>
      <c r="C53" s="370" t="str">
        <f>IFERROR(IF(ISTEXT(B53),"Analýza a dizajn",""),)</f>
        <v/>
      </c>
      <c r="D53" s="370" t="str">
        <f>IFERROR(VLOOKUP(B53,MODULY_CBA!$B$3:$I$23,6,0),"")</f>
        <v/>
      </c>
      <c r="E53" s="371" t="str">
        <f>IFERROR(VLOOKUP(D53,INKREMENTY!$A$2:$F$21,2,0),"")</f>
        <v/>
      </c>
      <c r="F53" s="371" t="str">
        <f>IFERROR(VLOOKUP(D53,INKREMENTY!$A$2:$F$21,4,0),"")</f>
        <v/>
      </c>
      <c r="G53" s="370">
        <f>IFERROR(ROUND(((E53-$E$3)+1)/30,0)+1,)</f>
        <v>0</v>
      </c>
      <c r="H53" s="370">
        <f t="shared" si="9"/>
        <v>-1</v>
      </c>
      <c r="I53" s="539"/>
      <c r="J53" s="370">
        <f t="shared" ref="J53:J56" si="15">H53+I53</f>
        <v>-1</v>
      </c>
    </row>
    <row r="54" spans="1:10">
      <c r="A54" s="802"/>
      <c r="B54" s="803"/>
      <c r="C54" s="370" t="str">
        <f>IFERROR(IF(ISTEXT(B53),"Nákupo HW a krabicový SW",""),)</f>
        <v/>
      </c>
      <c r="D54" s="367"/>
      <c r="E54" s="367"/>
      <c r="F54" s="367"/>
      <c r="G54" s="539"/>
      <c r="H54" s="370">
        <f t="shared" si="9"/>
        <v>-1</v>
      </c>
      <c r="I54" s="539"/>
      <c r="J54" s="370">
        <f t="shared" si="15"/>
        <v>-1</v>
      </c>
    </row>
    <row r="55" spans="1:10">
      <c r="A55" s="802"/>
      <c r="B55" s="803"/>
      <c r="C55" s="370" t="str">
        <f>IFERROR(IF(ISTEXT(B53),"Implementácia",""),)</f>
        <v/>
      </c>
      <c r="D55" s="367"/>
      <c r="E55" s="367"/>
      <c r="F55" s="367"/>
      <c r="G55" s="539"/>
      <c r="H55" s="370">
        <f t="shared" si="9"/>
        <v>-1</v>
      </c>
      <c r="I55" s="539"/>
      <c r="J55" s="370">
        <f t="shared" si="15"/>
        <v>-1</v>
      </c>
    </row>
    <row r="56" spans="1:10">
      <c r="A56" s="802"/>
      <c r="B56" s="803"/>
      <c r="C56" s="370" t="str">
        <f>IFERROR(IF(ISTEXT(B53),"Testovanie",""),)</f>
        <v/>
      </c>
      <c r="D56" s="367"/>
      <c r="E56" s="367"/>
      <c r="F56" s="367"/>
      <c r="G56" s="539"/>
      <c r="H56" s="370">
        <f t="shared" si="9"/>
        <v>-1</v>
      </c>
      <c r="I56" s="539"/>
      <c r="J56" s="370">
        <f t="shared" si="15"/>
        <v>-1</v>
      </c>
    </row>
    <row r="57" spans="1:10">
      <c r="A57" s="802"/>
      <c r="B57" s="803"/>
      <c r="C57" s="370" t="str">
        <f>IFERROR(IF(ISTEXT(B53),"Nasadenie",""),)</f>
        <v/>
      </c>
      <c r="D57" s="367"/>
      <c r="E57" s="367"/>
      <c r="F57" s="367"/>
      <c r="G57" s="539"/>
      <c r="H57" s="370">
        <f t="shared" si="9"/>
        <v>-1</v>
      </c>
      <c r="I57" s="370">
        <f>J57-H57</f>
        <v>1</v>
      </c>
      <c r="J57" s="370">
        <f>IFERROR(ROUND((F53-$E$3+1)/30,0),)</f>
        <v>0</v>
      </c>
    </row>
    <row r="58" spans="1:10">
      <c r="A58" s="802">
        <v>12</v>
      </c>
      <c r="B58" s="803"/>
      <c r="C58" s="370" t="str">
        <f>IFERROR(IF(ISTEXT(B58),"Analýza a dizajn",""),)</f>
        <v/>
      </c>
      <c r="D58" s="370" t="str">
        <f>IFERROR(VLOOKUP(B58,MODULY_CBA!$B$3:$I$23,6,0),"")</f>
        <v/>
      </c>
      <c r="E58" s="371" t="str">
        <f>IFERROR(VLOOKUP(D58,INKREMENTY!$A$2:$F$21,2,0),"")</f>
        <v/>
      </c>
      <c r="F58" s="371" t="str">
        <f>IFERROR(VLOOKUP(D58,INKREMENTY!$A$2:$F$21,4,0),"")</f>
        <v/>
      </c>
      <c r="G58" s="370">
        <f>IFERROR(ROUND(((E58-$E$3)+1)/30,0)+1,)</f>
        <v>0</v>
      </c>
      <c r="H58" s="370">
        <f t="shared" si="9"/>
        <v>-1</v>
      </c>
      <c r="I58" s="539"/>
      <c r="J58" s="370">
        <f t="shared" ref="J58:J61" si="16">H58+I58</f>
        <v>-1</v>
      </c>
    </row>
    <row r="59" spans="1:10">
      <c r="A59" s="802"/>
      <c r="B59" s="803"/>
      <c r="C59" s="370" t="str">
        <f>IFERROR(IF(ISTEXT(B58),"Nákupo HW a krabicový SW",""),)</f>
        <v/>
      </c>
      <c r="D59" s="367"/>
      <c r="E59" s="367"/>
      <c r="F59" s="367"/>
      <c r="G59" s="539"/>
      <c r="H59" s="370">
        <f t="shared" si="9"/>
        <v>-1</v>
      </c>
      <c r="I59" s="539"/>
      <c r="J59" s="370">
        <f t="shared" si="16"/>
        <v>-1</v>
      </c>
    </row>
    <row r="60" spans="1:10">
      <c r="A60" s="802"/>
      <c r="B60" s="803"/>
      <c r="C60" s="370" t="str">
        <f>IFERROR(IF(ISTEXT(B58),"Implementácia",""),)</f>
        <v/>
      </c>
      <c r="D60" s="367"/>
      <c r="E60" s="367"/>
      <c r="F60" s="367"/>
      <c r="G60" s="539"/>
      <c r="H60" s="370">
        <f t="shared" si="9"/>
        <v>-1</v>
      </c>
      <c r="I60" s="539"/>
      <c r="J60" s="370">
        <f t="shared" si="16"/>
        <v>-1</v>
      </c>
    </row>
    <row r="61" spans="1:10">
      <c r="A61" s="802"/>
      <c r="B61" s="803"/>
      <c r="C61" s="370" t="str">
        <f>IFERROR(IF(ISTEXT(B58),"Testovanie",""),)</f>
        <v/>
      </c>
      <c r="D61" s="367"/>
      <c r="E61" s="367"/>
      <c r="F61" s="367"/>
      <c r="G61" s="539"/>
      <c r="H61" s="370">
        <f t="shared" si="9"/>
        <v>-1</v>
      </c>
      <c r="I61" s="539"/>
      <c r="J61" s="370">
        <f t="shared" si="16"/>
        <v>-1</v>
      </c>
    </row>
    <row r="62" spans="1:10">
      <c r="A62" s="802"/>
      <c r="B62" s="803"/>
      <c r="C62" s="370" t="str">
        <f>IFERROR(IF(ISTEXT(B58),"Nasadenie",""),)</f>
        <v/>
      </c>
      <c r="D62" s="367"/>
      <c r="E62" s="367"/>
      <c r="F62" s="367"/>
      <c r="G62" s="539"/>
      <c r="H62" s="370">
        <f t="shared" si="9"/>
        <v>-1</v>
      </c>
      <c r="I62" s="370">
        <f>J62-H62</f>
        <v>1</v>
      </c>
      <c r="J62" s="370">
        <f>IFERROR(ROUND((F58-$E$3+1)/30,0),)</f>
        <v>0</v>
      </c>
    </row>
    <row r="63" spans="1:10">
      <c r="A63" s="802">
        <v>13</v>
      </c>
      <c r="B63" s="803"/>
      <c r="C63" s="370" t="str">
        <f>IFERROR(IF(ISTEXT(B63),"Analýza a dizajn",""),)</f>
        <v/>
      </c>
      <c r="D63" s="370" t="str">
        <f>IFERROR(VLOOKUP(B63,MODULY_CBA!$B$3:$I$23,6,0),"")</f>
        <v/>
      </c>
      <c r="E63" s="371" t="str">
        <f>IFERROR(VLOOKUP(D63,INKREMENTY!$A$2:$F$21,2,0),"")</f>
        <v/>
      </c>
      <c r="F63" s="371" t="str">
        <f>IFERROR(VLOOKUP(D63,INKREMENTY!$A$2:$F$21,4,0),"")</f>
        <v/>
      </c>
      <c r="G63" s="370">
        <f>IFERROR(ROUND(((E63-$E$3)+1)/30,0)+1,)</f>
        <v>0</v>
      </c>
      <c r="H63" s="370">
        <f t="shared" si="9"/>
        <v>-1</v>
      </c>
      <c r="I63" s="539"/>
      <c r="J63" s="370">
        <f t="shared" ref="J63:J66" si="17">H63+I63</f>
        <v>-1</v>
      </c>
    </row>
    <row r="64" spans="1:10">
      <c r="A64" s="802"/>
      <c r="B64" s="803"/>
      <c r="C64" s="370" t="str">
        <f>IFERROR(IF(ISTEXT(B63),"Nákupo HW a krabicový SW",""),)</f>
        <v/>
      </c>
      <c r="D64" s="367"/>
      <c r="E64" s="367"/>
      <c r="F64" s="367"/>
      <c r="G64" s="539"/>
      <c r="H64" s="370">
        <f t="shared" si="9"/>
        <v>-1</v>
      </c>
      <c r="I64" s="539"/>
      <c r="J64" s="370">
        <f t="shared" si="17"/>
        <v>-1</v>
      </c>
    </row>
    <row r="65" spans="1:10">
      <c r="A65" s="802"/>
      <c r="B65" s="803"/>
      <c r="C65" s="370" t="str">
        <f>IFERROR(IF(ISTEXT(B63),"Implementácia",""),)</f>
        <v/>
      </c>
      <c r="D65" s="367"/>
      <c r="E65" s="367"/>
      <c r="F65" s="367"/>
      <c r="G65" s="539"/>
      <c r="H65" s="370">
        <f t="shared" si="9"/>
        <v>-1</v>
      </c>
      <c r="I65" s="539"/>
      <c r="J65" s="370">
        <f t="shared" si="17"/>
        <v>-1</v>
      </c>
    </row>
    <row r="66" spans="1:10">
      <c r="A66" s="802"/>
      <c r="B66" s="803"/>
      <c r="C66" s="370" t="str">
        <f>IFERROR(IF(ISTEXT(B63),"Testovanie",""),)</f>
        <v/>
      </c>
      <c r="D66" s="367"/>
      <c r="E66" s="367"/>
      <c r="F66" s="367"/>
      <c r="G66" s="539"/>
      <c r="H66" s="370">
        <f t="shared" si="9"/>
        <v>-1</v>
      </c>
      <c r="I66" s="539"/>
      <c r="J66" s="370">
        <f t="shared" si="17"/>
        <v>-1</v>
      </c>
    </row>
    <row r="67" spans="1:10">
      <c r="A67" s="802"/>
      <c r="B67" s="803"/>
      <c r="C67" s="370" t="str">
        <f>IFERROR(IF(ISTEXT(B63),"Nasadenie",""),)</f>
        <v/>
      </c>
      <c r="D67" s="367"/>
      <c r="E67" s="367"/>
      <c r="F67" s="367"/>
      <c r="G67" s="539"/>
      <c r="H67" s="370">
        <f t="shared" si="9"/>
        <v>-1</v>
      </c>
      <c r="I67" s="370">
        <f>J67-H67</f>
        <v>1</v>
      </c>
      <c r="J67" s="370">
        <f>IFERROR(ROUND((F63-$E$3+1)/30,0),)</f>
        <v>0</v>
      </c>
    </row>
    <row r="68" spans="1:10">
      <c r="A68" s="802">
        <v>14</v>
      </c>
      <c r="B68" s="803"/>
      <c r="C68" s="370" t="str">
        <f>IFERROR(IF(ISTEXT(B68),"Analýza a dizajn",""),)</f>
        <v/>
      </c>
      <c r="D68" s="370" t="str">
        <f>IFERROR(VLOOKUP(B68,MODULY_CBA!$B$3:$I$23,6,0),"")</f>
        <v/>
      </c>
      <c r="E68" s="371" t="str">
        <f>IFERROR(VLOOKUP(D68,INKREMENTY!$A$2:$F$21,2,0),"")</f>
        <v/>
      </c>
      <c r="F68" s="371" t="str">
        <f>IFERROR(VLOOKUP(D68,INKREMENTY!$A$2:$F$21,4,0),"")</f>
        <v/>
      </c>
      <c r="G68" s="370">
        <f>IFERROR(ROUND(((E68-$E$3)+1)/30,0)+1,)</f>
        <v>0</v>
      </c>
      <c r="H68" s="370">
        <f t="shared" si="9"/>
        <v>-1</v>
      </c>
      <c r="I68" s="539"/>
      <c r="J68" s="370">
        <f t="shared" ref="J68:J71" si="18">H68+I68</f>
        <v>-1</v>
      </c>
    </row>
    <row r="69" spans="1:10">
      <c r="A69" s="802"/>
      <c r="B69" s="803"/>
      <c r="C69" s="370" t="str">
        <f>IFERROR(IF(ISTEXT(B68),"Nákupo HW a krabicový SW",""),)</f>
        <v/>
      </c>
      <c r="D69" s="367"/>
      <c r="E69" s="367"/>
      <c r="F69" s="367"/>
      <c r="G69" s="539"/>
      <c r="H69" s="370">
        <f t="shared" si="9"/>
        <v>-1</v>
      </c>
      <c r="I69" s="539"/>
      <c r="J69" s="370">
        <f t="shared" si="18"/>
        <v>-1</v>
      </c>
    </row>
    <row r="70" spans="1:10">
      <c r="A70" s="802"/>
      <c r="B70" s="803"/>
      <c r="C70" s="370" t="str">
        <f>IFERROR(IF(ISTEXT(B68),"Implementácia",""),)</f>
        <v/>
      </c>
      <c r="D70" s="367"/>
      <c r="E70" s="367"/>
      <c r="F70" s="367"/>
      <c r="G70" s="539"/>
      <c r="H70" s="370">
        <f t="shared" si="9"/>
        <v>-1</v>
      </c>
      <c r="I70" s="539"/>
      <c r="J70" s="370">
        <f t="shared" si="18"/>
        <v>-1</v>
      </c>
    </row>
    <row r="71" spans="1:10">
      <c r="A71" s="802"/>
      <c r="B71" s="803"/>
      <c r="C71" s="370" t="str">
        <f>IFERROR(IF(ISTEXT(B68),"Testovanie",""),)</f>
        <v/>
      </c>
      <c r="D71" s="367"/>
      <c r="E71" s="367"/>
      <c r="F71" s="367"/>
      <c r="G71" s="539"/>
      <c r="H71" s="370">
        <f t="shared" si="9"/>
        <v>-1</v>
      </c>
      <c r="I71" s="539"/>
      <c r="J71" s="370">
        <f t="shared" si="18"/>
        <v>-1</v>
      </c>
    </row>
    <row r="72" spans="1:10">
      <c r="A72" s="802"/>
      <c r="B72" s="803"/>
      <c r="C72" s="370" t="str">
        <f>IFERROR(IF(ISTEXT(B68),"Nasadenie",""),)</f>
        <v/>
      </c>
      <c r="D72" s="367"/>
      <c r="E72" s="367"/>
      <c r="F72" s="367"/>
      <c r="G72" s="539"/>
      <c r="H72" s="370">
        <f t="shared" si="9"/>
        <v>-1</v>
      </c>
      <c r="I72" s="370">
        <f>J72-H72</f>
        <v>1</v>
      </c>
      <c r="J72" s="370">
        <f>IFERROR(ROUND((F68-$E$3+1)/30,0),)</f>
        <v>0</v>
      </c>
    </row>
    <row r="73" spans="1:10">
      <c r="A73" s="802">
        <v>15</v>
      </c>
      <c r="B73" s="803"/>
      <c r="C73" s="370" t="str">
        <f>IFERROR(IF(ISTEXT(B73),"Analýza a dizajn",""),)</f>
        <v/>
      </c>
      <c r="D73" s="370" t="str">
        <f>IFERROR(VLOOKUP(B73,MODULY_CBA!$B$3:$I$23,6,0),"")</f>
        <v/>
      </c>
      <c r="E73" s="371" t="str">
        <f>IFERROR(VLOOKUP(D73,INKREMENTY!$A$2:$F$21,2,0),"")</f>
        <v/>
      </c>
      <c r="F73" s="371" t="str">
        <f>IFERROR(VLOOKUP(D73,INKREMENTY!$A$2:$F$21,4,0),"")</f>
        <v/>
      </c>
      <c r="G73" s="370">
        <f>IFERROR(ROUND(((E73-$E$3)+1)/30,0)+1,)</f>
        <v>0</v>
      </c>
      <c r="H73" s="370">
        <f t="shared" si="9"/>
        <v>-1</v>
      </c>
      <c r="I73" s="539"/>
      <c r="J73" s="370">
        <f t="shared" ref="J73:J76" si="19">H73+I73</f>
        <v>-1</v>
      </c>
    </row>
    <row r="74" spans="1:10">
      <c r="A74" s="802"/>
      <c r="B74" s="803"/>
      <c r="C74" s="370" t="str">
        <f>IFERROR(IF(ISTEXT(B73),"Nákupo HW a krabicový SW",""),)</f>
        <v/>
      </c>
      <c r="D74" s="367"/>
      <c r="E74" s="367"/>
      <c r="F74" s="367"/>
      <c r="G74" s="539"/>
      <c r="H74" s="370">
        <f t="shared" si="9"/>
        <v>-1</v>
      </c>
      <c r="I74" s="539"/>
      <c r="J74" s="370">
        <f t="shared" si="19"/>
        <v>-1</v>
      </c>
    </row>
    <row r="75" spans="1:10">
      <c r="A75" s="802"/>
      <c r="B75" s="803"/>
      <c r="C75" s="370" t="str">
        <f>IFERROR(IF(ISTEXT(B73),"Implementácia",""),)</f>
        <v/>
      </c>
      <c r="D75" s="367"/>
      <c r="E75" s="367"/>
      <c r="F75" s="367"/>
      <c r="G75" s="539"/>
      <c r="H75" s="370">
        <f t="shared" si="9"/>
        <v>-1</v>
      </c>
      <c r="I75" s="539"/>
      <c r="J75" s="370">
        <f t="shared" si="19"/>
        <v>-1</v>
      </c>
    </row>
    <row r="76" spans="1:10">
      <c r="A76" s="802"/>
      <c r="B76" s="803"/>
      <c r="C76" s="370" t="str">
        <f>IFERROR(IF(ISTEXT(B73),"Testovanie",""),)</f>
        <v/>
      </c>
      <c r="D76" s="367"/>
      <c r="E76" s="367"/>
      <c r="F76" s="367"/>
      <c r="G76" s="539"/>
      <c r="H76" s="370">
        <f t="shared" si="9"/>
        <v>-1</v>
      </c>
      <c r="I76" s="539"/>
      <c r="J76" s="370">
        <f t="shared" si="19"/>
        <v>-1</v>
      </c>
    </row>
    <row r="77" spans="1:10">
      <c r="A77" s="802"/>
      <c r="B77" s="803"/>
      <c r="C77" s="370" t="str">
        <f>IFERROR(IF(ISTEXT(B73),"Nasadenie",""),)</f>
        <v/>
      </c>
      <c r="D77" s="367"/>
      <c r="E77" s="367"/>
      <c r="F77" s="367"/>
      <c r="G77" s="539"/>
      <c r="H77" s="370">
        <f t="shared" si="9"/>
        <v>-1</v>
      </c>
      <c r="I77" s="370">
        <f>J77-H77</f>
        <v>1</v>
      </c>
      <c r="J77" s="370">
        <f>IFERROR(ROUND((F73-$E$3+1)/30,0),)</f>
        <v>0</v>
      </c>
    </row>
    <row r="78" spans="1:10">
      <c r="A78" s="802">
        <v>16</v>
      </c>
      <c r="B78" s="803"/>
      <c r="C78" s="370" t="str">
        <f>IFERROR(IF(ISTEXT(B78),"Analýza a dizajn",""),)</f>
        <v/>
      </c>
      <c r="D78" s="370" t="str">
        <f>IFERROR(VLOOKUP(B78,MODULY_CBA!$B$3:$I$23,6,0),"")</f>
        <v/>
      </c>
      <c r="E78" s="371" t="str">
        <f>IFERROR(VLOOKUP(D78,INKREMENTY!$A$2:$F$21,2,0),"")</f>
        <v/>
      </c>
      <c r="F78" s="371" t="str">
        <f>IFERROR(VLOOKUP(D78,INKREMENTY!$A$2:$F$21,4,0),"")</f>
        <v/>
      </c>
      <c r="G78" s="370">
        <f>IFERROR(ROUND(((E78-$E$3)+1)/30,0)+1,)</f>
        <v>0</v>
      </c>
      <c r="H78" s="370">
        <f t="shared" si="9"/>
        <v>-1</v>
      </c>
      <c r="I78" s="539"/>
      <c r="J78" s="370">
        <f t="shared" ref="J78:J81" si="20">H78+I78</f>
        <v>-1</v>
      </c>
    </row>
    <row r="79" spans="1:10">
      <c r="A79" s="802"/>
      <c r="B79" s="803"/>
      <c r="C79" s="370" t="str">
        <f>IFERROR(IF(ISTEXT(B78),"Nákupo HW a krabicový SW",""),)</f>
        <v/>
      </c>
      <c r="D79" s="367"/>
      <c r="E79" s="367"/>
      <c r="F79" s="367"/>
      <c r="G79" s="539"/>
      <c r="H79" s="370">
        <f t="shared" si="9"/>
        <v>-1</v>
      </c>
      <c r="I79" s="539"/>
      <c r="J79" s="370">
        <f t="shared" si="20"/>
        <v>-1</v>
      </c>
    </row>
    <row r="80" spans="1:10">
      <c r="A80" s="802"/>
      <c r="B80" s="803"/>
      <c r="C80" s="370" t="str">
        <f>IFERROR(IF(ISTEXT(B78),"Implementácia",""),)</f>
        <v/>
      </c>
      <c r="D80" s="367"/>
      <c r="E80" s="367"/>
      <c r="F80" s="367"/>
      <c r="G80" s="539"/>
      <c r="H80" s="370">
        <f t="shared" si="9"/>
        <v>-1</v>
      </c>
      <c r="I80" s="539"/>
      <c r="J80" s="370">
        <f t="shared" si="20"/>
        <v>-1</v>
      </c>
    </row>
    <row r="81" spans="1:10">
      <c r="A81" s="802"/>
      <c r="B81" s="803"/>
      <c r="C81" s="370" t="str">
        <f>IFERROR(IF(ISTEXT(B78),"Testovanie",""),)</f>
        <v/>
      </c>
      <c r="D81" s="367"/>
      <c r="E81" s="367"/>
      <c r="F81" s="367"/>
      <c r="G81" s="539"/>
      <c r="H81" s="370">
        <f t="shared" si="9"/>
        <v>-1</v>
      </c>
      <c r="I81" s="539"/>
      <c r="J81" s="370">
        <f t="shared" si="20"/>
        <v>-1</v>
      </c>
    </row>
    <row r="82" spans="1:10">
      <c r="A82" s="802"/>
      <c r="B82" s="803"/>
      <c r="C82" s="370" t="str">
        <f>IFERROR(IF(ISTEXT(B78),"Nasadenie",""),)</f>
        <v/>
      </c>
      <c r="D82" s="367"/>
      <c r="E82" s="367"/>
      <c r="F82" s="367"/>
      <c r="G82" s="539"/>
      <c r="H82" s="370">
        <f t="shared" si="9"/>
        <v>-1</v>
      </c>
      <c r="I82" s="370">
        <f>J82-H82</f>
        <v>1</v>
      </c>
      <c r="J82" s="370">
        <f>IFERROR(ROUND((F78-$E$3+1)/30,0),)</f>
        <v>0</v>
      </c>
    </row>
    <row r="83" spans="1:10">
      <c r="A83" s="802">
        <v>17</v>
      </c>
      <c r="B83" s="803"/>
      <c r="C83" s="370" t="str">
        <f>IFERROR(IF(ISTEXT(B83),"Analýza a dizajn",""),)</f>
        <v/>
      </c>
      <c r="D83" s="370" t="str">
        <f>IFERROR(VLOOKUP(B83,MODULY_CBA!$B$3:$I$23,6,0),"")</f>
        <v/>
      </c>
      <c r="E83" s="371" t="str">
        <f>IFERROR(VLOOKUP(D83,INKREMENTY!$A$2:$F$21,2,0),"")</f>
        <v/>
      </c>
      <c r="F83" s="371" t="str">
        <f>IFERROR(VLOOKUP(D83,INKREMENTY!$A$2:$F$21,4,0),"")</f>
        <v/>
      </c>
      <c r="G83" s="370">
        <f>IFERROR(ROUND(((E83-$E$3)+1)/30,0)+1,)</f>
        <v>0</v>
      </c>
      <c r="H83" s="370">
        <f t="shared" si="9"/>
        <v>-1</v>
      </c>
      <c r="I83" s="539"/>
      <c r="J83" s="370">
        <f t="shared" ref="J83:J86" si="21">H83+I83</f>
        <v>-1</v>
      </c>
    </row>
    <row r="84" spans="1:10">
      <c r="A84" s="802"/>
      <c r="B84" s="803"/>
      <c r="C84" s="370" t="str">
        <f>IFERROR(IF(ISTEXT(B83),"Nákupo HW a krabicový SW",""),)</f>
        <v/>
      </c>
      <c r="D84" s="367"/>
      <c r="E84" s="367"/>
      <c r="F84" s="367"/>
      <c r="G84" s="539"/>
      <c r="H84" s="370">
        <f t="shared" si="9"/>
        <v>-1</v>
      </c>
      <c r="I84" s="539"/>
      <c r="J84" s="370">
        <f t="shared" si="21"/>
        <v>-1</v>
      </c>
    </row>
    <row r="85" spans="1:10">
      <c r="A85" s="802"/>
      <c r="B85" s="803"/>
      <c r="C85" s="370" t="str">
        <f>IFERROR(IF(ISTEXT(B83),"Implementácia",""),)</f>
        <v/>
      </c>
      <c r="D85" s="367"/>
      <c r="E85" s="367"/>
      <c r="F85" s="367"/>
      <c r="G85" s="539"/>
      <c r="H85" s="370">
        <f t="shared" si="9"/>
        <v>-1</v>
      </c>
      <c r="I85" s="539"/>
      <c r="J85" s="370">
        <f t="shared" si="21"/>
        <v>-1</v>
      </c>
    </row>
    <row r="86" spans="1:10">
      <c r="A86" s="802"/>
      <c r="B86" s="803"/>
      <c r="C86" s="370" t="str">
        <f>IFERROR(IF(ISTEXT(B83),"Testovanie",""),)</f>
        <v/>
      </c>
      <c r="D86" s="367"/>
      <c r="E86" s="367"/>
      <c r="F86" s="367"/>
      <c r="G86" s="539"/>
      <c r="H86" s="370">
        <f t="shared" si="9"/>
        <v>-1</v>
      </c>
      <c r="I86" s="539"/>
      <c r="J86" s="370">
        <f t="shared" si="21"/>
        <v>-1</v>
      </c>
    </row>
    <row r="87" spans="1:10">
      <c r="A87" s="802"/>
      <c r="B87" s="803"/>
      <c r="C87" s="370" t="str">
        <f>IFERROR(IF(ISTEXT(B83),"Nasadenie",""),)</f>
        <v/>
      </c>
      <c r="D87" s="367"/>
      <c r="E87" s="367"/>
      <c r="F87" s="367"/>
      <c r="G87" s="539"/>
      <c r="H87" s="370">
        <f t="shared" si="9"/>
        <v>-1</v>
      </c>
      <c r="I87" s="370">
        <f>J87-H87</f>
        <v>1</v>
      </c>
      <c r="J87" s="370">
        <f>IFERROR(ROUND((F83-$E$3+1)/30,0),)</f>
        <v>0</v>
      </c>
    </row>
    <row r="88" spans="1:10">
      <c r="A88" s="802">
        <v>18</v>
      </c>
      <c r="B88" s="803"/>
      <c r="C88" s="370" t="str">
        <f>IFERROR(IF(ISTEXT(B88),"Analýza a dizajn",""),)</f>
        <v/>
      </c>
      <c r="D88" s="370" t="str">
        <f>IFERROR(VLOOKUP(B88,MODULY_CBA!$B$3:$I$23,6,0),"")</f>
        <v/>
      </c>
      <c r="E88" s="371" t="str">
        <f>IFERROR(VLOOKUP(D88,INKREMENTY!$A$2:$F$21,2,0),"")</f>
        <v/>
      </c>
      <c r="F88" s="371" t="str">
        <f>IFERROR(VLOOKUP(D88,INKREMENTY!$A$2:$F$21,4,0),"")</f>
        <v/>
      </c>
      <c r="G88" s="370">
        <f>IFERROR(ROUND(((E88-$E$3)+1)/30,0)+1,)</f>
        <v>0</v>
      </c>
      <c r="H88" s="370">
        <f t="shared" si="9"/>
        <v>-1</v>
      </c>
      <c r="I88" s="539"/>
      <c r="J88" s="370">
        <f t="shared" ref="J88:J91" si="22">H88+I88</f>
        <v>-1</v>
      </c>
    </row>
    <row r="89" spans="1:10">
      <c r="A89" s="802"/>
      <c r="B89" s="803"/>
      <c r="C89" s="370" t="str">
        <f>IFERROR(IF(ISTEXT(B88),"Nákupo HW a krabicový SW",""),)</f>
        <v/>
      </c>
      <c r="D89" s="367"/>
      <c r="E89" s="367"/>
      <c r="F89" s="367"/>
      <c r="G89" s="539"/>
      <c r="H89" s="370">
        <f t="shared" si="9"/>
        <v>-1</v>
      </c>
      <c r="I89" s="539"/>
      <c r="J89" s="370">
        <f t="shared" si="22"/>
        <v>-1</v>
      </c>
    </row>
    <row r="90" spans="1:10">
      <c r="A90" s="802"/>
      <c r="B90" s="803"/>
      <c r="C90" s="370" t="str">
        <f>IFERROR(IF(ISTEXT(B88),"Implementácia",""),)</f>
        <v/>
      </c>
      <c r="D90" s="367"/>
      <c r="E90" s="367"/>
      <c r="F90" s="367"/>
      <c r="G90" s="539"/>
      <c r="H90" s="370">
        <f t="shared" si="9"/>
        <v>-1</v>
      </c>
      <c r="I90" s="539"/>
      <c r="J90" s="370">
        <f t="shared" si="22"/>
        <v>-1</v>
      </c>
    </row>
    <row r="91" spans="1:10">
      <c r="A91" s="802"/>
      <c r="B91" s="803"/>
      <c r="C91" s="370" t="str">
        <f>IFERROR(IF(ISTEXT(B88),"Testovanie",""),)</f>
        <v/>
      </c>
      <c r="D91" s="367"/>
      <c r="E91" s="367"/>
      <c r="F91" s="367"/>
      <c r="G91" s="539"/>
      <c r="H91" s="370">
        <f t="shared" si="9"/>
        <v>-1</v>
      </c>
      <c r="I91" s="539"/>
      <c r="J91" s="370">
        <f t="shared" si="22"/>
        <v>-1</v>
      </c>
    </row>
    <row r="92" spans="1:10">
      <c r="A92" s="802"/>
      <c r="B92" s="803"/>
      <c r="C92" s="370" t="str">
        <f>IFERROR(IF(ISTEXT(B88),"Nasadenie",""),)</f>
        <v/>
      </c>
      <c r="D92" s="367"/>
      <c r="E92" s="367"/>
      <c r="F92" s="367"/>
      <c r="G92" s="539"/>
      <c r="H92" s="370">
        <f t="shared" ref="H92:H107" si="23">G92-1</f>
        <v>-1</v>
      </c>
      <c r="I92" s="370">
        <f>J92-H92</f>
        <v>1</v>
      </c>
      <c r="J92" s="370">
        <f>IFERROR(ROUND((F88-$E$3+1)/30,0),)</f>
        <v>0</v>
      </c>
    </row>
    <row r="93" spans="1:10">
      <c r="A93" s="802">
        <v>19</v>
      </c>
      <c r="B93" s="803"/>
      <c r="C93" s="370" t="str">
        <f>IFERROR(IF(ISTEXT(B93),"Analýza a dizajn",""),)</f>
        <v/>
      </c>
      <c r="D93" s="370" t="str">
        <f>IFERROR(VLOOKUP(B93,MODULY_CBA!$B$3:$I$23,6,0),"")</f>
        <v/>
      </c>
      <c r="E93" s="371" t="str">
        <f>IFERROR(VLOOKUP(D93,INKREMENTY!$A$2:$F$21,2,0),"")</f>
        <v/>
      </c>
      <c r="F93" s="371" t="str">
        <f>IFERROR(VLOOKUP(D93,INKREMENTY!$A$2:$F$21,4,0),"")</f>
        <v/>
      </c>
      <c r="G93" s="370">
        <f>IFERROR(ROUND(((E93-$E$3)+1)/30,0)+1,)</f>
        <v>0</v>
      </c>
      <c r="H93" s="370">
        <f t="shared" si="23"/>
        <v>-1</v>
      </c>
      <c r="I93" s="539"/>
      <c r="J93" s="370">
        <f t="shared" ref="J93:J96" si="24">H93+I93</f>
        <v>-1</v>
      </c>
    </row>
    <row r="94" spans="1:10">
      <c r="A94" s="802"/>
      <c r="B94" s="803"/>
      <c r="C94" s="370" t="str">
        <f>IFERROR(IF(ISTEXT(B93),"Nákupo HW a krabicový SW",""),)</f>
        <v/>
      </c>
      <c r="D94" s="367"/>
      <c r="E94" s="367"/>
      <c r="F94" s="367"/>
      <c r="G94" s="539"/>
      <c r="H94" s="370">
        <f t="shared" si="23"/>
        <v>-1</v>
      </c>
      <c r="I94" s="539"/>
      <c r="J94" s="370">
        <f t="shared" si="24"/>
        <v>-1</v>
      </c>
    </row>
    <row r="95" spans="1:10">
      <c r="A95" s="802"/>
      <c r="B95" s="803"/>
      <c r="C95" s="370" t="str">
        <f>IFERROR(IF(ISTEXT(B93),"Implementácia",""),)</f>
        <v/>
      </c>
      <c r="D95" s="367"/>
      <c r="E95" s="367"/>
      <c r="F95" s="367"/>
      <c r="G95" s="539"/>
      <c r="H95" s="370">
        <f t="shared" si="23"/>
        <v>-1</v>
      </c>
      <c r="I95" s="539"/>
      <c r="J95" s="370">
        <f t="shared" si="24"/>
        <v>-1</v>
      </c>
    </row>
    <row r="96" spans="1:10">
      <c r="A96" s="802"/>
      <c r="B96" s="803"/>
      <c r="C96" s="370" t="str">
        <f>IFERROR(IF(ISTEXT(B93),"Testovanie",""),)</f>
        <v/>
      </c>
      <c r="D96" s="367"/>
      <c r="E96" s="367"/>
      <c r="F96" s="367"/>
      <c r="G96" s="539"/>
      <c r="H96" s="370">
        <f t="shared" si="23"/>
        <v>-1</v>
      </c>
      <c r="I96" s="539"/>
      <c r="J96" s="370">
        <f t="shared" si="24"/>
        <v>-1</v>
      </c>
    </row>
    <row r="97" spans="1:10">
      <c r="A97" s="802"/>
      <c r="B97" s="803"/>
      <c r="C97" s="370" t="str">
        <f>IFERROR(IF(ISTEXT(B93),"Nasadenie",""),)</f>
        <v/>
      </c>
      <c r="D97" s="367"/>
      <c r="E97" s="367"/>
      <c r="F97" s="367"/>
      <c r="G97" s="539"/>
      <c r="H97" s="370">
        <f t="shared" si="23"/>
        <v>-1</v>
      </c>
      <c r="I97" s="370">
        <f>J97-H97</f>
        <v>1</v>
      </c>
      <c r="J97" s="370">
        <f>IFERROR(ROUND((F93-$E$3+1)/30,0),)</f>
        <v>0</v>
      </c>
    </row>
    <row r="98" spans="1:10">
      <c r="A98" s="802">
        <v>20</v>
      </c>
      <c r="B98" s="803"/>
      <c r="C98" s="370" t="str">
        <f>IFERROR(IF(ISTEXT(B98),"Analýza a dizajn",""),)</f>
        <v/>
      </c>
      <c r="D98" s="370" t="str">
        <f>IFERROR(VLOOKUP(B98,MODULY_CBA!$B$3:$I$23,6,0),"")</f>
        <v/>
      </c>
      <c r="E98" s="371" t="str">
        <f>IFERROR(VLOOKUP(D98,INKREMENTY!$A$2:$F$21,2,0),"")</f>
        <v/>
      </c>
      <c r="F98" s="371" t="str">
        <f>IFERROR(VLOOKUP(D98,INKREMENTY!$A$2:$F$21,4,0),"")</f>
        <v/>
      </c>
      <c r="G98" s="370">
        <f>IFERROR(ROUND(((E98-$E$3)+1)/30,0)+1,)</f>
        <v>0</v>
      </c>
      <c r="H98" s="370">
        <f t="shared" si="23"/>
        <v>-1</v>
      </c>
      <c r="I98" s="539"/>
      <c r="J98" s="370">
        <f t="shared" ref="J98:J101" si="25">H98+I98</f>
        <v>-1</v>
      </c>
    </row>
    <row r="99" spans="1:10">
      <c r="A99" s="802"/>
      <c r="B99" s="803"/>
      <c r="C99" s="370" t="str">
        <f>IFERROR(IF(ISTEXT(B98),"Nákupo HW a krabicový SW",""),)</f>
        <v/>
      </c>
      <c r="D99" s="367"/>
      <c r="E99" s="367"/>
      <c r="F99" s="367"/>
      <c r="G99" s="539"/>
      <c r="H99" s="370">
        <f t="shared" si="23"/>
        <v>-1</v>
      </c>
      <c r="I99" s="539"/>
      <c r="J99" s="370">
        <f t="shared" si="25"/>
        <v>-1</v>
      </c>
    </row>
    <row r="100" spans="1:10">
      <c r="A100" s="802"/>
      <c r="B100" s="803"/>
      <c r="C100" s="370" t="str">
        <f>IFERROR(IF(ISTEXT(B98),"Implementácia",""),)</f>
        <v/>
      </c>
      <c r="D100" s="367"/>
      <c r="E100" s="367"/>
      <c r="F100" s="367"/>
      <c r="G100" s="539"/>
      <c r="H100" s="370">
        <f t="shared" si="23"/>
        <v>-1</v>
      </c>
      <c r="I100" s="539"/>
      <c r="J100" s="370">
        <f t="shared" si="25"/>
        <v>-1</v>
      </c>
    </row>
    <row r="101" spans="1:10">
      <c r="A101" s="802"/>
      <c r="B101" s="803"/>
      <c r="C101" s="370" t="str">
        <f>IFERROR(IF(ISTEXT(B98),"Testovanie",""),)</f>
        <v/>
      </c>
      <c r="D101" s="367"/>
      <c r="E101" s="367"/>
      <c r="F101" s="367"/>
      <c r="G101" s="539"/>
      <c r="H101" s="370">
        <f t="shared" si="23"/>
        <v>-1</v>
      </c>
      <c r="I101" s="539"/>
      <c r="J101" s="370">
        <f t="shared" si="25"/>
        <v>-1</v>
      </c>
    </row>
    <row r="102" spans="1:10">
      <c r="A102" s="802"/>
      <c r="B102" s="803"/>
      <c r="C102" s="370" t="str">
        <f>IFERROR(IF(ISTEXT(B98),"Nasadenie",""),)</f>
        <v/>
      </c>
      <c r="D102" s="367"/>
      <c r="E102" s="367"/>
      <c r="F102" s="367"/>
      <c r="G102" s="539"/>
      <c r="H102" s="370">
        <f t="shared" si="23"/>
        <v>-1</v>
      </c>
      <c r="I102" s="370">
        <f>J102-H102</f>
        <v>1</v>
      </c>
      <c r="J102" s="370">
        <f>IFERROR(ROUND((F98-$E$3+1)/30,0),)</f>
        <v>0</v>
      </c>
    </row>
    <row r="103" spans="1:10">
      <c r="A103" s="802">
        <v>21</v>
      </c>
      <c r="B103" s="803"/>
      <c r="C103" s="370" t="str">
        <f>IFERROR(IF(ISTEXT(B103),"Analýza a dizajn",""),)</f>
        <v/>
      </c>
      <c r="D103" s="370" t="str">
        <f>IFERROR(VLOOKUP(B103,MODULY_CBA!$B$3:$I$23,6,0),"")</f>
        <v/>
      </c>
      <c r="E103" s="371" t="str">
        <f>IFERROR(VLOOKUP(D103,INKREMENTY!$A$2:$F$21,2,0),"")</f>
        <v/>
      </c>
      <c r="F103" s="371" t="str">
        <f>IFERROR(VLOOKUP(D103,INKREMENTY!$A$2:$F$21,4,0),"")</f>
        <v/>
      </c>
      <c r="G103" s="370">
        <f>IFERROR(ROUND(((E103-$E$3)+1)/30,0)+1,)</f>
        <v>0</v>
      </c>
      <c r="H103" s="370">
        <f t="shared" si="23"/>
        <v>-1</v>
      </c>
      <c r="I103" s="539"/>
      <c r="J103" s="370">
        <f t="shared" ref="J103:J106" si="26">H103+I103</f>
        <v>-1</v>
      </c>
    </row>
    <row r="104" spans="1:10">
      <c r="A104" s="802"/>
      <c r="B104" s="803"/>
      <c r="C104" s="370" t="str">
        <f>IFERROR(IF(ISTEXT(B103),"Nákupo HW a krabicový SW",""),)</f>
        <v/>
      </c>
      <c r="D104" s="367"/>
      <c r="E104" s="367"/>
      <c r="F104" s="367"/>
      <c r="G104" s="539"/>
      <c r="H104" s="370">
        <f t="shared" si="23"/>
        <v>-1</v>
      </c>
      <c r="I104" s="539"/>
      <c r="J104" s="370">
        <f t="shared" si="26"/>
        <v>-1</v>
      </c>
    </row>
    <row r="105" spans="1:10">
      <c r="A105" s="802"/>
      <c r="B105" s="803"/>
      <c r="C105" s="370" t="str">
        <f>IFERROR(IF(ISTEXT(B103),"Implementácia",""),)</f>
        <v/>
      </c>
      <c r="D105" s="367"/>
      <c r="E105" s="367"/>
      <c r="F105" s="367"/>
      <c r="G105" s="539"/>
      <c r="H105" s="370">
        <f t="shared" si="23"/>
        <v>-1</v>
      </c>
      <c r="I105" s="539"/>
      <c r="J105" s="370">
        <f t="shared" si="26"/>
        <v>-1</v>
      </c>
    </row>
    <row r="106" spans="1:10">
      <c r="A106" s="802"/>
      <c r="B106" s="803"/>
      <c r="C106" s="370" t="str">
        <f>IFERROR(IF(ISTEXT(B103),"Testovanie",""),)</f>
        <v/>
      </c>
      <c r="D106" s="367"/>
      <c r="E106" s="367"/>
      <c r="F106" s="367"/>
      <c r="G106" s="539"/>
      <c r="H106" s="370">
        <f t="shared" si="23"/>
        <v>-1</v>
      </c>
      <c r="I106" s="539"/>
      <c r="J106" s="370">
        <f t="shared" si="26"/>
        <v>-1</v>
      </c>
    </row>
    <row r="107" spans="1:10">
      <c r="A107" s="802"/>
      <c r="B107" s="803"/>
      <c r="C107" s="370" t="str">
        <f>IFERROR(IF(ISTEXT(B103),"Nasadenie",""),)</f>
        <v/>
      </c>
      <c r="D107" s="367"/>
      <c r="E107" s="367"/>
      <c r="F107" s="367"/>
      <c r="G107" s="539"/>
      <c r="H107" s="370">
        <f t="shared" si="23"/>
        <v>-1</v>
      </c>
      <c r="I107" s="370">
        <f>J107-H107</f>
        <v>1</v>
      </c>
      <c r="J107" s="370">
        <f>IFERROR(ROUND((F103-$E$3+1)/30,0),)</f>
        <v>0</v>
      </c>
    </row>
  </sheetData>
  <mergeCells count="43">
    <mergeCell ref="G1:J1"/>
    <mergeCell ref="B28:B32"/>
    <mergeCell ref="B3:B7"/>
    <mergeCell ref="B8:B12"/>
    <mergeCell ref="B13:B17"/>
    <mergeCell ref="B18:B22"/>
    <mergeCell ref="B23:B27"/>
    <mergeCell ref="B33:B37"/>
    <mergeCell ref="B38:B42"/>
    <mergeCell ref="B43:B47"/>
    <mergeCell ref="B48:B52"/>
    <mergeCell ref="B53:B57"/>
    <mergeCell ref="B88:B92"/>
    <mergeCell ref="B93:B97"/>
    <mergeCell ref="B98:B102"/>
    <mergeCell ref="B103:B107"/>
    <mergeCell ref="B58:B62"/>
    <mergeCell ref="B63:B67"/>
    <mergeCell ref="B68:B72"/>
    <mergeCell ref="B73:B77"/>
    <mergeCell ref="B78:B82"/>
    <mergeCell ref="A53:A57"/>
    <mergeCell ref="A58:A62"/>
    <mergeCell ref="A63:A67"/>
    <mergeCell ref="A68:A72"/>
    <mergeCell ref="B83:B87"/>
    <mergeCell ref="A28:A32"/>
    <mergeCell ref="A33:A37"/>
    <mergeCell ref="A38:A42"/>
    <mergeCell ref="A43:A47"/>
    <mergeCell ref="A48:A52"/>
    <mergeCell ref="A3:A7"/>
    <mergeCell ref="A8:A12"/>
    <mergeCell ref="A13:A17"/>
    <mergeCell ref="A18:A22"/>
    <mergeCell ref="A23:A27"/>
    <mergeCell ref="A98:A102"/>
    <mergeCell ref="A103:A107"/>
    <mergeCell ref="A73:A77"/>
    <mergeCell ref="A78:A82"/>
    <mergeCell ref="A83:A87"/>
    <mergeCell ref="A88:A92"/>
    <mergeCell ref="A93:A97"/>
  </mergeCells>
  <conditionalFormatting sqref="C3:C32">
    <cfRule type="expression" dxfId="2" priority="1">
      <formula>ISTEXT($B$28)</formula>
    </cfRule>
  </conditionalFormatting>
  <dataValidations count="1">
    <dataValidation type="list" allowBlank="1" showInputMessage="1" showErrorMessage="1" sqref="B3:B107" xr:uid="{00000000-0002-0000-1400-000000000000}">
      <formula1>MODULY</formula1>
    </dataValidation>
  </dataValidation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árok9">
    <tabColor theme="0" tint="-0.34998626667073579"/>
    <outlinePr summaryBelow="0" summaryRight="0"/>
  </sheetPr>
  <dimension ref="A1:M44"/>
  <sheetViews>
    <sheetView view="pageBreakPreview" zoomScaleNormal="85" zoomScaleSheetLayoutView="100" workbookViewId="0">
      <selection activeCell="E12" sqref="E12"/>
    </sheetView>
  </sheetViews>
  <sheetFormatPr defaultColWidth="8.85546875" defaultRowHeight="15" outlineLevelCol="1"/>
  <cols>
    <col min="2" max="2" width="54.140625" customWidth="1"/>
    <col min="3" max="3" width="18.85546875" customWidth="1"/>
    <col min="4" max="13" width="16" customWidth="1" outlineLevel="1"/>
  </cols>
  <sheetData>
    <row r="1" spans="1:13" ht="21">
      <c r="A1" s="94" t="s">
        <v>99</v>
      </c>
      <c r="B1" s="95"/>
      <c r="E1" s="84"/>
      <c r="F1" s="84"/>
      <c r="G1" s="84"/>
      <c r="H1" s="84"/>
      <c r="I1" s="84"/>
      <c r="J1" s="84"/>
      <c r="K1" s="84"/>
      <c r="L1" s="84"/>
      <c r="M1" s="80"/>
    </row>
    <row r="2" spans="1:13" ht="15.75">
      <c r="A2" s="96"/>
      <c r="B2" s="82"/>
      <c r="D2" s="82"/>
      <c r="E2" s="82"/>
      <c r="F2" s="82"/>
      <c r="G2" s="82"/>
      <c r="H2" s="82"/>
      <c r="I2" s="82"/>
      <c r="J2" s="82"/>
      <c r="K2" s="82"/>
      <c r="L2" s="82"/>
      <c r="M2" s="76"/>
    </row>
    <row r="3" spans="1:13" ht="15.75">
      <c r="A3" s="160" t="s">
        <v>151</v>
      </c>
      <c r="B3" s="82"/>
      <c r="D3" s="76"/>
      <c r="E3" s="76"/>
      <c r="F3" s="76"/>
      <c r="G3" s="76"/>
      <c r="H3" s="76"/>
      <c r="I3" s="76"/>
      <c r="J3" s="76"/>
      <c r="K3" s="76"/>
      <c r="L3" s="76"/>
      <c r="M3" s="76"/>
    </row>
    <row r="4" spans="1:13">
      <c r="D4" s="77"/>
      <c r="E4" s="77"/>
      <c r="F4" s="77"/>
      <c r="G4" s="77"/>
      <c r="H4" s="77"/>
      <c r="I4" s="77"/>
      <c r="J4" s="77"/>
      <c r="K4" s="77"/>
      <c r="L4" s="77"/>
      <c r="M4" s="77"/>
    </row>
    <row r="5" spans="1:13" ht="15.75" thickBot="1">
      <c r="B5" s="77"/>
      <c r="C5" s="81"/>
      <c r="D5" s="805" t="s">
        <v>100</v>
      </c>
      <c r="E5" s="805"/>
      <c r="F5" s="805"/>
      <c r="G5" s="805"/>
      <c r="H5" s="805"/>
      <c r="I5" s="805"/>
      <c r="J5" s="805"/>
      <c r="K5" s="805"/>
      <c r="L5" s="805"/>
      <c r="M5" s="805"/>
    </row>
    <row r="6" spans="1:13">
      <c r="A6" s="130"/>
      <c r="B6" s="155" t="s">
        <v>126</v>
      </c>
      <c r="C6" s="88" t="s">
        <v>104</v>
      </c>
      <c r="D6" s="100" t="s">
        <v>25</v>
      </c>
      <c r="E6" s="101" t="s">
        <v>26</v>
      </c>
      <c r="F6" s="101" t="s">
        <v>27</v>
      </c>
      <c r="G6" s="101" t="s">
        <v>28</v>
      </c>
      <c r="H6" s="101" t="s">
        <v>29</v>
      </c>
      <c r="I6" s="101" t="s">
        <v>30</v>
      </c>
      <c r="J6" s="101" t="s">
        <v>31</v>
      </c>
      <c r="K6" s="101" t="s">
        <v>32</v>
      </c>
      <c r="L6" s="101" t="s">
        <v>33</v>
      </c>
      <c r="M6" s="102" t="s">
        <v>34</v>
      </c>
    </row>
    <row r="7" spans="1:13">
      <c r="A7" s="158"/>
      <c r="B7" s="156" t="s">
        <v>107</v>
      </c>
      <c r="C7" s="89">
        <f t="shared" ref="C7:C14" si="0">SUM(D7:M7)</f>
        <v>4400000</v>
      </c>
      <c r="D7" s="103">
        <f>'TCO TO BE- SW'!$E6+'TCO TO BE- SW'!$E26+'TCO TO BE- SW'!$E16</f>
        <v>4400000</v>
      </c>
      <c r="E7" s="86">
        <f>'TCO TO BE- SW'!$E7+'TCO TO BE- SW'!$E27+'TCO TO BE- SW'!$E17</f>
        <v>0</v>
      </c>
      <c r="F7" s="86">
        <f>'TCO TO BE- SW'!$E8+'TCO TO BE- SW'!$E28+'TCO TO BE- SW'!$E18</f>
        <v>0</v>
      </c>
      <c r="G7" s="86">
        <f>'TCO TO BE- SW'!$E9+'TCO TO BE- SW'!$E29+'TCO TO BE- SW'!$E19</f>
        <v>0</v>
      </c>
      <c r="H7" s="86">
        <f>'TCO TO BE- SW'!$E10+'TCO TO BE- SW'!$E30+'TCO TO BE- SW'!$E20</f>
        <v>0</v>
      </c>
      <c r="I7" s="86">
        <f>'TCO TO BE- SW'!$E11+'TCO TO BE- SW'!$E31+'TCO TO BE- SW'!$E21</f>
        <v>0</v>
      </c>
      <c r="J7" s="86">
        <f>'TCO TO BE- SW'!$E12+'TCO TO BE- SW'!$E32+'TCO TO BE- SW'!$E22</f>
        <v>0</v>
      </c>
      <c r="K7" s="86">
        <f>'TCO TO BE- SW'!$E13+'TCO TO BE- SW'!$E33+'TCO TO BE- SW'!$E23</f>
        <v>0</v>
      </c>
      <c r="L7" s="86">
        <f>'TCO TO BE- SW'!$E14+'TCO TO BE- SW'!$E34+'TCO TO BE- SW'!$E24</f>
        <v>0</v>
      </c>
      <c r="M7" s="104">
        <f>'TCO TO BE- SW'!$E15+'TCO TO BE- SW'!$E35+'TCO TO BE- SW'!$E25</f>
        <v>0</v>
      </c>
    </row>
    <row r="8" spans="1:13">
      <c r="A8" s="158"/>
      <c r="B8" s="156" t="s">
        <v>108</v>
      </c>
      <c r="C8" s="89">
        <f t="shared" si="0"/>
        <v>7040000</v>
      </c>
      <c r="D8" s="103">
        <f>'TCO TO BE- SW'!$E79+'TCO TO BE- SW'!$E89</f>
        <v>0</v>
      </c>
      <c r="E8" s="86">
        <f>'TCO TO BE- SW'!$E80+'TCO TO BE- SW'!$E90</f>
        <v>0</v>
      </c>
      <c r="F8" s="86">
        <f>'TCO TO BE- SW'!$E81+'TCO TO BE- SW'!$E91</f>
        <v>880000</v>
      </c>
      <c r="G8" s="86">
        <f>'TCO TO BE- SW'!$E82+'TCO TO BE- SW'!$E92</f>
        <v>880000</v>
      </c>
      <c r="H8" s="86">
        <f>'TCO TO BE- SW'!$E83+'TCO TO BE- SW'!$E93</f>
        <v>880000</v>
      </c>
      <c r="I8" s="86">
        <f>'TCO TO BE- SW'!$E84+'TCO TO BE- SW'!$E94</f>
        <v>880000</v>
      </c>
      <c r="J8" s="86">
        <f>'TCO TO BE- SW'!$E85+'TCO TO BE- SW'!$E95</f>
        <v>880000</v>
      </c>
      <c r="K8" s="86">
        <f>'TCO TO BE- SW'!$E86+'TCO TO BE- SW'!$E96</f>
        <v>880000</v>
      </c>
      <c r="L8" s="86">
        <f>'TCO TO BE- SW'!$E87+'TCO TO BE- SW'!$E97</f>
        <v>880000</v>
      </c>
      <c r="M8" s="104">
        <f>'TCO TO BE- SW'!$E88+'TCO TO BE- SW'!$E98</f>
        <v>880000</v>
      </c>
    </row>
    <row r="9" spans="1:13">
      <c r="A9" s="158"/>
      <c r="B9" s="156" t="s">
        <v>109</v>
      </c>
      <c r="C9" s="89">
        <f t="shared" si="0"/>
        <v>6745902.0899999999</v>
      </c>
      <c r="D9" s="103">
        <f>'TCO TO BE- SW'!$E37+'TCO TO BE- SW'!$E47+'TCO TO BE- SW'!$E67+'TCO TO BE- SW'!E57</f>
        <v>2003819.1806129445</v>
      </c>
      <c r="E9" s="86">
        <f>'TCO TO BE- SW'!$E38+'TCO TO BE- SW'!$E48+'TCO TO BE- SW'!$E68+'TCO TO BE- SW'!E58</f>
        <v>1666090.3490175738</v>
      </c>
      <c r="F9" s="86">
        <f>'TCO TO BE- SW'!$E39+'TCO TO BE- SW'!$E49+'TCO TO BE- SW'!$E69+'TCO TO BE- SW'!E59</f>
        <v>3075992.5603694813</v>
      </c>
      <c r="G9" s="86">
        <f>'TCO TO BE- SW'!$E40+'TCO TO BE- SW'!$E50+'TCO TO BE- SW'!$E70+'TCO TO BE- SW'!E60</f>
        <v>0</v>
      </c>
      <c r="H9" s="86">
        <f>'TCO TO BE- SW'!$E41+'TCO TO BE- SW'!$E51+'TCO TO BE- SW'!$E71+'TCO TO BE- SW'!E61</f>
        <v>0</v>
      </c>
      <c r="I9" s="86">
        <f>'TCO TO BE- SW'!$E42+'TCO TO BE- SW'!$E52+'TCO TO BE- SW'!$E72+'TCO TO BE- SW'!E62</f>
        <v>0</v>
      </c>
      <c r="J9" s="86">
        <f>'TCO TO BE- SW'!$E43+'TCO TO BE- SW'!$E53+'TCO TO BE- SW'!$E73+'TCO TO BE- SW'!E63</f>
        <v>0</v>
      </c>
      <c r="K9" s="86">
        <f>'TCO TO BE- SW'!$E44+'TCO TO BE- SW'!$E54+'TCO TO BE- SW'!$E74+'TCO TO BE- SW'!E64</f>
        <v>0</v>
      </c>
      <c r="L9" s="86">
        <f>'TCO TO BE- SW'!$E45+'TCO TO BE- SW'!$E55+'TCO TO BE- SW'!$E75+'TCO TO BE- SW'!E65</f>
        <v>0</v>
      </c>
      <c r="M9" s="104">
        <f>'TCO TO BE- SW'!$E46+'TCO TO BE- SW'!$E56+'TCO TO BE- SW'!$E76+'TCO TO BE- SW'!E66</f>
        <v>0</v>
      </c>
    </row>
    <row r="10" spans="1:13">
      <c r="A10" s="158"/>
      <c r="B10" s="156" t="s">
        <v>110</v>
      </c>
      <c r="C10" s="89">
        <f t="shared" si="0"/>
        <v>9368325.7826833092</v>
      </c>
      <c r="D10" s="103">
        <f>'TCO TO BE- SW'!$E100+'TCO TO BE- SW'!$E110+'TCO TO BE- SW'!$E120+'TCO TO BE- SW'!$E130+'TCO TO BE- SW'!$E140</f>
        <v>350002.49414165446</v>
      </c>
      <c r="E10" s="86">
        <f>'TCO TO BE- SW'!$E101+'TCO TO BE- SW'!$E111+'TCO TO BE- SW'!$E121+'TCO TO BE- SW'!$E131+'TCO TO BE- SW'!$E141</f>
        <v>350002.49414165446</v>
      </c>
      <c r="F10" s="86">
        <f>'TCO TO BE- SW'!$E102+'TCO TO BE- SW'!$E112+'TCO TO BE- SW'!$E122+'TCO TO BE- SW'!$E132+'TCO TO BE- SW'!$E142</f>
        <v>1083540.0992999999</v>
      </c>
      <c r="G10" s="86">
        <f>'TCO TO BE- SW'!$E103+'TCO TO BE- SW'!$E113+'TCO TO BE- SW'!$E123+'TCO TO BE- SW'!$E133+'TCO TO BE- SW'!$E143</f>
        <v>1083540.0992999999</v>
      </c>
      <c r="H10" s="86">
        <f>'TCO TO BE- SW'!$E104+'TCO TO BE- SW'!$E114+'TCO TO BE- SW'!$E124+'TCO TO BE- SW'!$E134+'TCO TO BE- SW'!$E144</f>
        <v>1083540.0992999999</v>
      </c>
      <c r="I10" s="86">
        <f>'TCO TO BE- SW'!$E105+'TCO TO BE- SW'!$E115+'TCO TO BE- SW'!$E125+'TCO TO BE- SW'!$E135+'TCO TO BE- SW'!$E145</f>
        <v>1083540.0992999999</v>
      </c>
      <c r="J10" s="86">
        <f>'TCO TO BE- SW'!$E106+'TCO TO BE- SW'!$E116+'TCO TO BE- SW'!$E126+'TCO TO BE- SW'!$E136+'TCO TO BE- SW'!$E146</f>
        <v>1083540.0992999999</v>
      </c>
      <c r="K10" s="86">
        <f>'TCO TO BE- SW'!$E107+'TCO TO BE- SW'!$E117+'TCO TO BE- SW'!$E127+'TCO TO BE- SW'!$E137+'TCO TO BE- SW'!$E147</f>
        <v>1083540.0992999999</v>
      </c>
      <c r="L10" s="86">
        <f>'TCO TO BE- SW'!$E108+'TCO TO BE- SW'!$E118+'TCO TO BE- SW'!$E128+'TCO TO BE- SW'!$E138+'TCO TO BE- SW'!$E148</f>
        <v>1083540.0992999999</v>
      </c>
      <c r="M10" s="104">
        <f>'TCO TO BE- SW'!$E109+'TCO TO BE- SW'!$E119+'TCO TO BE- SW'!$E129+'TCO TO BE- SW'!$E139+'TCO TO BE- SW'!$E149</f>
        <v>1083540.0992999999</v>
      </c>
    </row>
    <row r="11" spans="1:13">
      <c r="A11" s="158"/>
      <c r="B11" s="156" t="s">
        <v>249</v>
      </c>
      <c r="C11" s="89">
        <f t="shared" si="0"/>
        <v>0</v>
      </c>
      <c r="D11" s="103">
        <f>'TCO TO BE- SW'!E172+'TCO TO BE- SW'!E182</f>
        <v>0</v>
      </c>
      <c r="E11" s="86">
        <f>'TCO TO BE- SW'!E173+'TCO TO BE- SW'!E183</f>
        <v>0</v>
      </c>
      <c r="F11" s="86">
        <f>'TCO TO BE- SW'!E174+'TCO TO BE- SW'!E184</f>
        <v>0</v>
      </c>
      <c r="G11" s="86">
        <f>'TCO TO BE- SW'!E175+'TCO TO BE- SW'!E185</f>
        <v>0</v>
      </c>
      <c r="H11" s="86">
        <f>'TCO TO BE- SW'!E176+'TCO TO BE- SW'!E186</f>
        <v>0</v>
      </c>
      <c r="I11" s="86">
        <f>'TCO TO BE- SW'!E177+'TCO TO BE- SW'!E187</f>
        <v>0</v>
      </c>
      <c r="J11" s="86">
        <f>'TCO TO BE- SW'!E178+'TCO TO BE- SW'!E188</f>
        <v>0</v>
      </c>
      <c r="K11" s="86">
        <f>'TCO TO BE- SW'!E179+'TCO TO BE- SW'!E189</f>
        <v>0</v>
      </c>
      <c r="L11" s="86">
        <f>'TCO TO BE- SW'!E180+'TCO TO BE- SW'!E190</f>
        <v>0</v>
      </c>
      <c r="M11" s="104">
        <f>'TCO TO BE- SW'!E181+'TCO TO BE- SW'!E191</f>
        <v>0</v>
      </c>
    </row>
    <row r="12" spans="1:13">
      <c r="A12" s="158"/>
      <c r="B12" s="156" t="s">
        <v>101</v>
      </c>
      <c r="C12" s="89">
        <f t="shared" si="0"/>
        <v>0</v>
      </c>
      <c r="D12" s="103">
        <f>'TCO TO BE - HW'!$E5+'TCO TO BE - HW'!$E15+'TCO TO BE - HW'!$E45+'TCO TO BE - HW'!$E25+'TCO TO BE - HW'!$E35</f>
        <v>0</v>
      </c>
      <c r="E12" s="86">
        <f>'TCO TO BE - HW'!$E6+'TCO TO BE - HW'!$E16+'TCO TO BE - HW'!$E46+'TCO TO BE - HW'!$E26+'TCO TO BE - HW'!$E36</f>
        <v>0</v>
      </c>
      <c r="F12" s="86">
        <f>'TCO TO BE - HW'!$E7+'TCO TO BE - HW'!$E17+'TCO TO BE - HW'!$E47+'TCO TO BE - HW'!$E27+'TCO TO BE - HW'!$E37</f>
        <v>0</v>
      </c>
      <c r="G12" s="86">
        <f>'TCO TO BE - HW'!$E8+'TCO TO BE - HW'!$E18+'TCO TO BE - HW'!$E48+'TCO TO BE - HW'!$E28+'TCO TO BE - HW'!$E38</f>
        <v>0</v>
      </c>
      <c r="H12" s="86">
        <f>'TCO TO BE - HW'!$E9+'TCO TO BE - HW'!$E19+'TCO TO BE - HW'!$E49+'TCO TO BE - HW'!$E29+'TCO TO BE - HW'!$E39</f>
        <v>0</v>
      </c>
      <c r="I12" s="86">
        <f>'TCO TO BE - HW'!$E10+'TCO TO BE - HW'!$E20+'TCO TO BE - HW'!$E50+'TCO TO BE - HW'!$E30+'TCO TO BE - HW'!$E40</f>
        <v>0</v>
      </c>
      <c r="J12" s="86">
        <f>'TCO TO BE - HW'!$E11+'TCO TO BE - HW'!$E21+'TCO TO BE - HW'!$E51+'TCO TO BE - HW'!$E31+'TCO TO BE - HW'!$E41</f>
        <v>0</v>
      </c>
      <c r="K12" s="86">
        <f>'TCO TO BE - HW'!$E12+'TCO TO BE - HW'!$E22+'TCO TO BE - HW'!$E52+'TCO TO BE - HW'!$E32+'TCO TO BE - HW'!$E42</f>
        <v>0</v>
      </c>
      <c r="L12" s="86">
        <f>'TCO TO BE - HW'!$E13+'TCO TO BE - HW'!$E23+'TCO TO BE - HW'!$E53+'TCO TO BE - HW'!$E33+'TCO TO BE - HW'!$E43</f>
        <v>0</v>
      </c>
      <c r="M12" s="104">
        <f>'TCO TO BE - HW'!$E14+'TCO TO BE - HW'!$E24+'TCO TO BE - HW'!$E54+'TCO TO BE - HW'!$E34+'TCO TO BE - HW'!$E44</f>
        <v>0</v>
      </c>
    </row>
    <row r="13" spans="1:13">
      <c r="A13" s="158"/>
      <c r="B13" s="156" t="s">
        <v>102</v>
      </c>
      <c r="C13" s="89">
        <f t="shared" si="0"/>
        <v>0</v>
      </c>
      <c r="D13" s="103">
        <f>'TCO TO BE - HW'!$E56+'TCO TO BE - HW'!$E66+'TCO TO BE - HW'!$E76+'TCO TO BE - HW'!$E86+'TCO TO BE - HW'!$E96</f>
        <v>0</v>
      </c>
      <c r="E13" s="86">
        <f>'TCO TO BE - HW'!$E57+'TCO TO BE - HW'!$E67+'TCO TO BE - HW'!$E77+'TCO TO BE - HW'!$E87+'TCO TO BE - HW'!$E97</f>
        <v>0</v>
      </c>
      <c r="F13" s="86">
        <f>'TCO TO BE - HW'!$E58+'TCO TO BE - HW'!$E68+'TCO TO BE - HW'!$E78+'TCO TO BE - HW'!$E88+'TCO TO BE - HW'!$E98</f>
        <v>0</v>
      </c>
      <c r="G13" s="86">
        <f>'TCO TO BE - HW'!$E59+'TCO TO BE - HW'!$E69+'TCO TO BE - HW'!$E79+'TCO TO BE - HW'!$E89+'TCO TO BE - HW'!$E99</f>
        <v>0</v>
      </c>
      <c r="H13" s="86">
        <f>'TCO TO BE - HW'!$E60+'TCO TO BE - HW'!$E70+'TCO TO BE - HW'!$E80+'TCO TO BE - HW'!$E90+'TCO TO BE - HW'!$E100</f>
        <v>0</v>
      </c>
      <c r="I13" s="86">
        <f>'TCO TO BE - HW'!$E61+'TCO TO BE - HW'!$E71+'TCO TO BE - HW'!$E81+'TCO TO BE - HW'!$E91+'TCO TO BE - HW'!$E101</f>
        <v>0</v>
      </c>
      <c r="J13" s="86">
        <f>'TCO TO BE - HW'!$E62+'TCO TO BE - HW'!$E72+'TCO TO BE - HW'!$E82+'TCO TO BE - HW'!$E92+'TCO TO BE - HW'!$E102</f>
        <v>0</v>
      </c>
      <c r="K13" s="86">
        <f>'TCO TO BE - HW'!$E63+'TCO TO BE - HW'!$E73+'TCO TO BE - HW'!$E83+'TCO TO BE - HW'!$E93+'TCO TO BE - HW'!$E103</f>
        <v>0</v>
      </c>
      <c r="L13" s="86">
        <f>'TCO TO BE - HW'!$E64+'TCO TO BE - HW'!$E74+'TCO TO BE - HW'!$E84+'TCO TO BE - HW'!$E94+'TCO TO BE - HW'!$E104</f>
        <v>0</v>
      </c>
      <c r="M13" s="104">
        <f>'TCO TO BE - HW'!$E65+'TCO TO BE - HW'!$E75+'TCO TO BE - HW'!$E85+'TCO TO BE - HW'!$E95+'TCO TO BE - HW'!$E105</f>
        <v>0</v>
      </c>
    </row>
    <row r="14" spans="1:13" ht="15.75" thickBot="1">
      <c r="A14" s="158"/>
      <c r="B14" s="319" t="s">
        <v>785</v>
      </c>
      <c r="C14" s="320">
        <f t="shared" si="0"/>
        <v>780213.14630000014</v>
      </c>
      <c r="D14" s="321">
        <f>'TCO TO BE- SW'!E151+'TCO TO BE- SW'!E161</f>
        <v>712677.14630000014</v>
      </c>
      <c r="E14" s="322">
        <f>'TCO TO BE- SW'!E152+'TCO TO BE- SW'!E162</f>
        <v>45024</v>
      </c>
      <c r="F14" s="322">
        <f>'TCO TO BE- SW'!E153+'TCO TO BE- SW'!E163</f>
        <v>22512</v>
      </c>
      <c r="G14" s="322">
        <f>'TCO TO BE- SW'!E154+'TCO TO BE- SW'!E164</f>
        <v>0</v>
      </c>
      <c r="H14" s="322">
        <f>'TCO TO BE- SW'!E155+'TCO TO BE- SW'!E165</f>
        <v>0</v>
      </c>
      <c r="I14" s="322">
        <f>'TCO TO BE- SW'!E156+'TCO TO BE- SW'!E166</f>
        <v>0</v>
      </c>
      <c r="J14" s="322">
        <f>'TCO TO BE- SW'!E157+'TCO TO BE- SW'!E167</f>
        <v>0</v>
      </c>
      <c r="K14" s="322">
        <f>'TCO TO BE- SW'!E158+'TCO TO BE- SW'!E168</f>
        <v>0</v>
      </c>
      <c r="L14" s="322">
        <f>'TCO TO BE- SW'!E159+'TCO TO BE- SW'!E169</f>
        <v>0</v>
      </c>
      <c r="M14" s="323">
        <f>'TCO TO BE- SW'!E160+'TCO TO BE- SW'!E170</f>
        <v>0</v>
      </c>
    </row>
    <row r="15" spans="1:13" ht="15.75" thickBot="1">
      <c r="A15" s="159"/>
      <c r="B15" s="157" t="s">
        <v>103</v>
      </c>
      <c r="C15" s="91">
        <f>SUM(C7:C14)</f>
        <v>28334441.018983308</v>
      </c>
      <c r="D15" s="87">
        <f>SUM(D7:D14)</f>
        <v>7466498.8210545983</v>
      </c>
      <c r="E15" s="87">
        <f t="shared" ref="E15:M15" si="1">SUM(E7:E14)</f>
        <v>2061116.8431592281</v>
      </c>
      <c r="F15" s="87">
        <f t="shared" si="1"/>
        <v>5062044.6596694812</v>
      </c>
      <c r="G15" s="87">
        <f t="shared" si="1"/>
        <v>1963540.0992999999</v>
      </c>
      <c r="H15" s="87">
        <f t="shared" si="1"/>
        <v>1963540.0992999999</v>
      </c>
      <c r="I15" s="87">
        <f t="shared" si="1"/>
        <v>1963540.0992999999</v>
      </c>
      <c r="J15" s="87">
        <f t="shared" si="1"/>
        <v>1963540.0992999999</v>
      </c>
      <c r="K15" s="87">
        <f t="shared" si="1"/>
        <v>1963540.0992999999</v>
      </c>
      <c r="L15" s="87">
        <f t="shared" si="1"/>
        <v>1963540.0992999999</v>
      </c>
      <c r="M15" s="87">
        <f t="shared" si="1"/>
        <v>1963540.0992999999</v>
      </c>
    </row>
    <row r="16" spans="1:13">
      <c r="A16" s="77"/>
      <c r="B16" s="77"/>
      <c r="C16" s="77"/>
      <c r="D16" s="77"/>
      <c r="E16" s="77"/>
      <c r="F16" s="77"/>
      <c r="G16" s="77"/>
      <c r="H16" s="77"/>
      <c r="I16" s="77"/>
      <c r="J16" s="77"/>
      <c r="K16" s="77"/>
      <c r="L16" s="77"/>
      <c r="M16" s="77"/>
    </row>
    <row r="17" spans="1:13">
      <c r="A17" s="77"/>
      <c r="B17" s="77"/>
      <c r="C17" s="77"/>
      <c r="D17" s="77"/>
      <c r="E17" s="77"/>
      <c r="F17" s="77"/>
      <c r="G17" s="77"/>
      <c r="H17" s="77"/>
      <c r="I17" s="77"/>
      <c r="J17" s="77"/>
      <c r="K17" s="77"/>
      <c r="L17" s="77"/>
      <c r="M17" s="77"/>
    </row>
    <row r="18" spans="1:13" ht="32.25" customHeight="1">
      <c r="A18" s="806" t="s">
        <v>784</v>
      </c>
      <c r="B18" s="806"/>
      <c r="C18" s="806"/>
      <c r="D18" s="83"/>
      <c r="E18" s="82"/>
      <c r="F18" s="82"/>
      <c r="G18" s="82"/>
      <c r="H18" s="82"/>
      <c r="I18" s="82"/>
      <c r="J18" s="82"/>
      <c r="K18" s="82"/>
      <c r="L18" s="82"/>
      <c r="M18" s="76"/>
    </row>
    <row r="19" spans="1:13">
      <c r="A19" s="77"/>
      <c r="B19" s="77"/>
      <c r="C19" s="77"/>
      <c r="D19" s="77"/>
      <c r="E19" s="77"/>
      <c r="F19" s="77"/>
      <c r="G19" s="77"/>
      <c r="H19" s="77"/>
      <c r="I19" s="77"/>
      <c r="J19" s="77"/>
      <c r="K19" s="77"/>
      <c r="L19" s="77"/>
      <c r="M19" s="77"/>
    </row>
    <row r="20" spans="1:13" ht="15.75" thickBot="1">
      <c r="B20" s="77"/>
      <c r="C20" s="81"/>
      <c r="D20" s="805" t="s">
        <v>100</v>
      </c>
      <c r="E20" s="805"/>
      <c r="F20" s="805"/>
      <c r="G20" s="805"/>
      <c r="H20" s="805"/>
      <c r="I20" s="805"/>
      <c r="J20" s="805"/>
      <c r="K20" s="805"/>
      <c r="L20" s="805"/>
      <c r="M20" s="805"/>
    </row>
    <row r="21" spans="1:13" ht="17.100000000000001" customHeight="1">
      <c r="A21" s="130"/>
      <c r="B21" s="154" t="s">
        <v>173</v>
      </c>
      <c r="C21" s="88" t="s">
        <v>104</v>
      </c>
      <c r="D21" s="100" t="s">
        <v>25</v>
      </c>
      <c r="E21" s="101" t="s">
        <v>26</v>
      </c>
      <c r="F21" s="101" t="s">
        <v>27</v>
      </c>
      <c r="G21" s="101" t="s">
        <v>28</v>
      </c>
      <c r="H21" s="101" t="s">
        <v>29</v>
      </c>
      <c r="I21" s="101" t="s">
        <v>30</v>
      </c>
      <c r="J21" s="101" t="s">
        <v>31</v>
      </c>
      <c r="K21" s="101" t="s">
        <v>32</v>
      </c>
      <c r="L21" s="101" t="s">
        <v>33</v>
      </c>
      <c r="M21" s="102" t="s">
        <v>34</v>
      </c>
    </row>
    <row r="22" spans="1:13" ht="15" customHeight="1">
      <c r="A22" s="158"/>
      <c r="B22" s="98" t="s">
        <v>107</v>
      </c>
      <c r="C22" s="89">
        <v>0</v>
      </c>
      <c r="D22" s="103">
        <v>0</v>
      </c>
      <c r="E22" s="86">
        <v>0</v>
      </c>
      <c r="F22" s="86">
        <v>0</v>
      </c>
      <c r="G22" s="86">
        <v>0</v>
      </c>
      <c r="H22" s="86">
        <v>0</v>
      </c>
      <c r="I22" s="86">
        <v>0</v>
      </c>
      <c r="J22" s="86">
        <v>0</v>
      </c>
      <c r="K22" s="86">
        <v>0</v>
      </c>
      <c r="L22" s="86">
        <v>0</v>
      </c>
      <c r="M22" s="104">
        <v>0</v>
      </c>
    </row>
    <row r="23" spans="1:13" ht="17.25" customHeight="1">
      <c r="A23" s="158"/>
      <c r="B23" s="98" t="s">
        <v>108</v>
      </c>
      <c r="C23" s="89">
        <f>SUM(D23:M23)</f>
        <v>0</v>
      </c>
      <c r="D23" s="103">
        <f>'TCO AS IS - SW'!E5+'TCO AS IS - SW'!E15</f>
        <v>0</v>
      </c>
      <c r="E23" s="86">
        <f>'TCO AS IS - SW'!E6+'TCO AS IS - SW'!E16</f>
        <v>0</v>
      </c>
      <c r="F23" s="86">
        <f>'TCO AS IS - SW'!E7+'TCO AS IS - SW'!E17</f>
        <v>0</v>
      </c>
      <c r="G23" s="86">
        <f>'TCO AS IS - SW'!E8+'TCO AS IS - SW'!E18</f>
        <v>0</v>
      </c>
      <c r="H23" s="86">
        <f>'TCO AS IS - SW'!E9+'TCO AS IS - SW'!E19</f>
        <v>0</v>
      </c>
      <c r="I23" s="86">
        <f>'TCO AS IS - SW'!E10+'TCO AS IS - SW'!E20</f>
        <v>0</v>
      </c>
      <c r="J23" s="86">
        <f>'TCO AS IS - SW'!E11+'TCO AS IS - SW'!E21</f>
        <v>0</v>
      </c>
      <c r="K23" s="86">
        <f>'TCO AS IS - SW'!E12+'TCO AS IS - SW'!E22</f>
        <v>0</v>
      </c>
      <c r="L23" s="86">
        <f>'TCO AS IS - SW'!E13+'TCO AS IS - SW'!E23</f>
        <v>0</v>
      </c>
      <c r="M23" s="104">
        <f>'TCO AS IS - SW'!E14+'TCO AS IS - SW'!E24</f>
        <v>0</v>
      </c>
    </row>
    <row r="24" spans="1:13">
      <c r="A24" s="158"/>
      <c r="B24" s="98" t="s">
        <v>109</v>
      </c>
      <c r="C24" s="89">
        <v>0</v>
      </c>
      <c r="D24" s="103">
        <v>0</v>
      </c>
      <c r="E24" s="86">
        <v>0</v>
      </c>
      <c r="F24" s="86">
        <v>0</v>
      </c>
      <c r="G24" s="86">
        <v>0</v>
      </c>
      <c r="H24" s="86">
        <v>0</v>
      </c>
      <c r="I24" s="86">
        <v>0</v>
      </c>
      <c r="J24" s="86">
        <v>0</v>
      </c>
      <c r="K24" s="86">
        <v>0</v>
      </c>
      <c r="L24" s="86">
        <v>0</v>
      </c>
      <c r="M24" s="104">
        <v>0</v>
      </c>
    </row>
    <row r="25" spans="1:13">
      <c r="A25" s="158"/>
      <c r="B25" s="98" t="s">
        <v>110</v>
      </c>
      <c r="C25" s="89">
        <f>SUM(D25:M25)</f>
        <v>0</v>
      </c>
      <c r="D25" s="103">
        <f>'TCO AS IS - SW'!E26+'TCO AS IS - SW'!E36+'TCO AS IS - SW'!E46+'TCO AS IS - SW'!E56+'TCO AS IS - SW'!E66</f>
        <v>0</v>
      </c>
      <c r="E25" s="86">
        <f>'TCO AS IS - SW'!E27+'TCO AS IS - SW'!E37+'TCO AS IS - SW'!E47+'TCO AS IS - SW'!E57+'TCO AS IS - SW'!E67</f>
        <v>0</v>
      </c>
      <c r="F25" s="86">
        <f>'TCO AS IS - SW'!E28+'TCO AS IS - SW'!E38+'TCO AS IS - SW'!E48+'TCO AS IS - SW'!E58+'TCO AS IS - SW'!E68</f>
        <v>0</v>
      </c>
      <c r="G25" s="86">
        <f>'TCO AS IS - SW'!E29+'TCO AS IS - SW'!E39+'TCO AS IS - SW'!E49+'TCO AS IS - SW'!E59+'TCO AS IS - SW'!E69</f>
        <v>0</v>
      </c>
      <c r="H25" s="86">
        <f>'TCO AS IS - SW'!E30+'TCO AS IS - SW'!E40+'TCO AS IS - SW'!E50+'TCO AS IS - SW'!E60+'TCO AS IS - SW'!E70</f>
        <v>0</v>
      </c>
      <c r="I25" s="86">
        <f>'TCO AS IS - SW'!E31+'TCO AS IS - SW'!E41+'TCO AS IS - SW'!E51+'TCO AS IS - SW'!E61+'TCO AS IS - SW'!E71</f>
        <v>0</v>
      </c>
      <c r="J25" s="86">
        <f>'TCO AS IS - SW'!E32+'TCO AS IS - SW'!E42+'TCO AS IS - SW'!E52+'TCO AS IS - SW'!E62+'TCO AS IS - SW'!E72</f>
        <v>0</v>
      </c>
      <c r="K25" s="86">
        <f>'TCO AS IS - SW'!E33+'TCO AS IS - SW'!E43+'TCO AS IS - SW'!E53+'TCO AS IS - SW'!E63+'TCO AS IS - SW'!E73</f>
        <v>0</v>
      </c>
      <c r="L25" s="86">
        <f>'TCO AS IS - SW'!E34+'TCO AS IS - SW'!E44+'TCO AS IS - SW'!E54+'TCO AS IS - SW'!E64+'TCO AS IS - SW'!E74</f>
        <v>0</v>
      </c>
      <c r="M25" s="104">
        <f>'TCO AS IS - SW'!E35+'TCO AS IS - SW'!E45+'TCO AS IS - SW'!E55+'TCO AS IS - SW'!E65+'TCO AS IS - SW'!E75</f>
        <v>0</v>
      </c>
    </row>
    <row r="26" spans="1:13">
      <c r="A26" s="158"/>
      <c r="B26" s="98" t="s">
        <v>101</v>
      </c>
      <c r="C26" s="89">
        <v>0</v>
      </c>
      <c r="D26" s="103">
        <v>0</v>
      </c>
      <c r="E26" s="86">
        <v>0</v>
      </c>
      <c r="F26" s="86">
        <v>0</v>
      </c>
      <c r="G26" s="86">
        <v>0</v>
      </c>
      <c r="H26" s="86">
        <v>0</v>
      </c>
      <c r="I26" s="86">
        <v>0</v>
      </c>
      <c r="J26" s="86">
        <v>0</v>
      </c>
      <c r="K26" s="86">
        <v>0</v>
      </c>
      <c r="L26" s="86">
        <v>0</v>
      </c>
      <c r="M26" s="104">
        <v>0</v>
      </c>
    </row>
    <row r="27" spans="1:13" ht="15.75" thickBot="1">
      <c r="A27" s="158"/>
      <c r="B27" s="99" t="s">
        <v>102</v>
      </c>
      <c r="C27" s="90">
        <f>SUM(D27:M27)</f>
        <v>0</v>
      </c>
      <c r="D27" s="105">
        <f>'TCO AS IS - HW'!E4+'TCO AS IS - HW'!E14+'TCO AS IS - HW'!E24+'TCO AS IS - HW'!E34+'TCO AS IS - HW'!E44</f>
        <v>0</v>
      </c>
      <c r="E27" s="106">
        <f>'TCO AS IS - HW'!E5+'TCO AS IS - HW'!E15+'TCO AS IS - HW'!E25+'TCO AS IS - HW'!E35+'TCO AS IS - HW'!E45</f>
        <v>0</v>
      </c>
      <c r="F27" s="106">
        <f>'TCO AS IS - HW'!E6+'TCO AS IS - HW'!E16+'TCO AS IS - HW'!E26+'TCO AS IS - HW'!E36+'TCO AS IS - HW'!E46</f>
        <v>0</v>
      </c>
      <c r="G27" s="106">
        <f>'TCO AS IS - HW'!E7+'TCO AS IS - HW'!E17+'TCO AS IS - HW'!E27+'TCO AS IS - HW'!E37+'TCO AS IS - HW'!E47</f>
        <v>0</v>
      </c>
      <c r="H27" s="106">
        <f>'TCO AS IS - HW'!E8+'TCO AS IS - HW'!E18+'TCO AS IS - HW'!E28+'TCO AS IS - HW'!E38+'TCO AS IS - HW'!E48</f>
        <v>0</v>
      </c>
      <c r="I27" s="106">
        <f>'TCO AS IS - HW'!E9+'TCO AS IS - HW'!E19+'TCO AS IS - HW'!E29+'TCO AS IS - HW'!E39+'TCO AS IS - HW'!E49</f>
        <v>0</v>
      </c>
      <c r="J27" s="106">
        <f>'TCO AS IS - HW'!E10+'TCO AS IS - HW'!E20+'TCO AS IS - HW'!E30+'TCO AS IS - HW'!E40+'TCO AS IS - HW'!E50</f>
        <v>0</v>
      </c>
      <c r="K27" s="106">
        <f>'TCO AS IS - HW'!E11+'TCO AS IS - HW'!E21+'TCO AS IS - HW'!E31+'TCO AS IS - HW'!E41+'TCO AS IS - HW'!E51</f>
        <v>0</v>
      </c>
      <c r="L27" s="106">
        <f>'TCO AS IS - HW'!E12+'TCO AS IS - HW'!E22+'TCO AS IS - HW'!E32+'TCO AS IS - HW'!E42+'TCO AS IS - HW'!E52</f>
        <v>0</v>
      </c>
      <c r="M27" s="107">
        <f>'TCO AS IS - HW'!E13+'TCO AS IS - HW'!E23+'TCO AS IS - HW'!E33+'TCO AS IS - HW'!E43+'TCO AS IS - HW'!E53</f>
        <v>0</v>
      </c>
    </row>
    <row r="28" spans="1:13" ht="15.75" thickBot="1">
      <c r="A28" s="159"/>
      <c r="B28" s="85" t="s">
        <v>103</v>
      </c>
      <c r="C28" s="91">
        <f t="shared" ref="C28:M28" si="2">SUM(C22:C27)</f>
        <v>0</v>
      </c>
      <c r="D28" s="87">
        <f t="shared" si="2"/>
        <v>0</v>
      </c>
      <c r="E28" s="79">
        <f t="shared" si="2"/>
        <v>0</v>
      </c>
      <c r="F28" s="79">
        <f t="shared" si="2"/>
        <v>0</v>
      </c>
      <c r="G28" s="79">
        <f t="shared" si="2"/>
        <v>0</v>
      </c>
      <c r="H28" s="79">
        <f t="shared" si="2"/>
        <v>0</v>
      </c>
      <c r="I28" s="79">
        <f t="shared" si="2"/>
        <v>0</v>
      </c>
      <c r="J28" s="79">
        <f t="shared" si="2"/>
        <v>0</v>
      </c>
      <c r="K28" s="79">
        <f t="shared" si="2"/>
        <v>0</v>
      </c>
      <c r="L28" s="93">
        <f t="shared" si="2"/>
        <v>0</v>
      </c>
      <c r="M28" s="92">
        <f t="shared" si="2"/>
        <v>0</v>
      </c>
    </row>
    <row r="29" spans="1:13">
      <c r="A29" s="151"/>
      <c r="B29" s="152"/>
      <c r="C29" s="153"/>
      <c r="D29" s="153"/>
      <c r="E29" s="153"/>
      <c r="F29" s="153"/>
      <c r="G29" s="153"/>
      <c r="H29" s="153"/>
      <c r="I29" s="153"/>
      <c r="J29" s="153"/>
      <c r="K29" s="153"/>
      <c r="L29" s="153"/>
      <c r="M29" s="153"/>
    </row>
    <row r="32" spans="1:13" ht="15.75" customHeight="1">
      <c r="A32" s="806" t="s">
        <v>160</v>
      </c>
      <c r="B32" s="806"/>
      <c r="C32" s="806"/>
    </row>
    <row r="34" spans="1:13" ht="15.75" thickBot="1"/>
    <row r="35" spans="1:13">
      <c r="A35" s="130"/>
      <c r="B35" s="154" t="s">
        <v>119</v>
      </c>
      <c r="C35" s="117" t="s">
        <v>104</v>
      </c>
      <c r="D35" s="118" t="s">
        <v>25</v>
      </c>
      <c r="E35" s="119" t="s">
        <v>26</v>
      </c>
      <c r="F35" s="119" t="s">
        <v>27</v>
      </c>
      <c r="G35" s="119" t="s">
        <v>28</v>
      </c>
      <c r="H35" s="119" t="s">
        <v>29</v>
      </c>
      <c r="I35" s="119" t="s">
        <v>30</v>
      </c>
      <c r="J35" s="119" t="s">
        <v>31</v>
      </c>
      <c r="K35" s="119" t="s">
        <v>32</v>
      </c>
      <c r="L35" s="119" t="s">
        <v>33</v>
      </c>
      <c r="M35" s="120" t="s">
        <v>34</v>
      </c>
    </row>
    <row r="36" spans="1:13">
      <c r="A36" s="158"/>
      <c r="B36" s="121" t="s">
        <v>107</v>
      </c>
      <c r="C36" s="89">
        <f>SUM(D36:M36)</f>
        <v>4400000</v>
      </c>
      <c r="D36" s="103">
        <f t="shared" ref="D36:M36" si="3">D7-D22</f>
        <v>4400000</v>
      </c>
      <c r="E36" s="86">
        <f t="shared" si="3"/>
        <v>0</v>
      </c>
      <c r="F36" s="86">
        <f t="shared" si="3"/>
        <v>0</v>
      </c>
      <c r="G36" s="86">
        <f t="shared" si="3"/>
        <v>0</v>
      </c>
      <c r="H36" s="86">
        <f t="shared" si="3"/>
        <v>0</v>
      </c>
      <c r="I36" s="86">
        <f t="shared" si="3"/>
        <v>0</v>
      </c>
      <c r="J36" s="86">
        <f t="shared" si="3"/>
        <v>0</v>
      </c>
      <c r="K36" s="86">
        <f t="shared" si="3"/>
        <v>0</v>
      </c>
      <c r="L36" s="86">
        <f t="shared" si="3"/>
        <v>0</v>
      </c>
      <c r="M36" s="122">
        <f t="shared" si="3"/>
        <v>0</v>
      </c>
    </row>
    <row r="37" spans="1:13">
      <c r="A37" s="158"/>
      <c r="B37" s="98" t="s">
        <v>108</v>
      </c>
      <c r="C37" s="89">
        <f t="shared" ref="C37:C43" si="4">SUM(D37:M37)</f>
        <v>7040000</v>
      </c>
      <c r="D37" s="103">
        <f t="shared" ref="D37:M37" si="5">D8-D23</f>
        <v>0</v>
      </c>
      <c r="E37" s="86">
        <f t="shared" si="5"/>
        <v>0</v>
      </c>
      <c r="F37" s="86">
        <f t="shared" si="5"/>
        <v>880000</v>
      </c>
      <c r="G37" s="86">
        <f t="shared" si="5"/>
        <v>880000</v>
      </c>
      <c r="H37" s="86">
        <f t="shared" si="5"/>
        <v>880000</v>
      </c>
      <c r="I37" s="86">
        <f t="shared" si="5"/>
        <v>880000</v>
      </c>
      <c r="J37" s="86">
        <f t="shared" si="5"/>
        <v>880000</v>
      </c>
      <c r="K37" s="86">
        <f t="shared" si="5"/>
        <v>880000</v>
      </c>
      <c r="L37" s="123">
        <f t="shared" si="5"/>
        <v>880000</v>
      </c>
      <c r="M37" s="104">
        <f t="shared" si="5"/>
        <v>880000</v>
      </c>
    </row>
    <row r="38" spans="1:13">
      <c r="A38" s="158"/>
      <c r="B38" s="121" t="s">
        <v>109</v>
      </c>
      <c r="C38" s="89">
        <f t="shared" si="4"/>
        <v>6745902.0899999999</v>
      </c>
      <c r="D38" s="103">
        <f t="shared" ref="D38:M38" si="6">D9-D24</f>
        <v>2003819.1806129445</v>
      </c>
      <c r="E38" s="86">
        <f t="shared" si="6"/>
        <v>1666090.3490175738</v>
      </c>
      <c r="F38" s="86">
        <f t="shared" si="6"/>
        <v>3075992.5603694813</v>
      </c>
      <c r="G38" s="86">
        <f t="shared" si="6"/>
        <v>0</v>
      </c>
      <c r="H38" s="86">
        <f t="shared" si="6"/>
        <v>0</v>
      </c>
      <c r="I38" s="86">
        <f t="shared" si="6"/>
        <v>0</v>
      </c>
      <c r="J38" s="86">
        <f t="shared" si="6"/>
        <v>0</v>
      </c>
      <c r="K38" s="86">
        <f t="shared" si="6"/>
        <v>0</v>
      </c>
      <c r="L38" s="123">
        <f t="shared" si="6"/>
        <v>0</v>
      </c>
      <c r="M38" s="104">
        <f t="shared" si="6"/>
        <v>0</v>
      </c>
    </row>
    <row r="39" spans="1:13">
      <c r="A39" s="158"/>
      <c r="B39" s="98" t="s">
        <v>110</v>
      </c>
      <c r="C39" s="89">
        <f t="shared" si="4"/>
        <v>9368325.7826833092</v>
      </c>
      <c r="D39" s="103">
        <f t="shared" ref="D39:M39" si="7">D10-D25</f>
        <v>350002.49414165446</v>
      </c>
      <c r="E39" s="86">
        <f t="shared" si="7"/>
        <v>350002.49414165446</v>
      </c>
      <c r="F39" s="86">
        <f t="shared" si="7"/>
        <v>1083540.0992999999</v>
      </c>
      <c r="G39" s="86">
        <f t="shared" si="7"/>
        <v>1083540.0992999999</v>
      </c>
      <c r="H39" s="86">
        <f t="shared" si="7"/>
        <v>1083540.0992999999</v>
      </c>
      <c r="I39" s="86">
        <f t="shared" si="7"/>
        <v>1083540.0992999999</v>
      </c>
      <c r="J39" s="86">
        <f t="shared" si="7"/>
        <v>1083540.0992999999</v>
      </c>
      <c r="K39" s="86">
        <f t="shared" si="7"/>
        <v>1083540.0992999999</v>
      </c>
      <c r="L39" s="123">
        <f t="shared" si="7"/>
        <v>1083540.0992999999</v>
      </c>
      <c r="M39" s="104">
        <f t="shared" si="7"/>
        <v>1083540.0992999999</v>
      </c>
    </row>
    <row r="40" spans="1:13">
      <c r="A40" s="158"/>
      <c r="B40" s="98" t="s">
        <v>249</v>
      </c>
      <c r="C40" s="89">
        <f t="shared" si="4"/>
        <v>0</v>
      </c>
      <c r="D40" s="103">
        <f t="shared" ref="D40:M40" si="8">D11</f>
        <v>0</v>
      </c>
      <c r="E40" s="86">
        <f t="shared" si="8"/>
        <v>0</v>
      </c>
      <c r="F40" s="86">
        <f t="shared" si="8"/>
        <v>0</v>
      </c>
      <c r="G40" s="86">
        <f t="shared" si="8"/>
        <v>0</v>
      </c>
      <c r="H40" s="86">
        <f t="shared" si="8"/>
        <v>0</v>
      </c>
      <c r="I40" s="86">
        <f t="shared" si="8"/>
        <v>0</v>
      </c>
      <c r="J40" s="86">
        <f t="shared" si="8"/>
        <v>0</v>
      </c>
      <c r="K40" s="86">
        <f t="shared" si="8"/>
        <v>0</v>
      </c>
      <c r="L40" s="123">
        <f t="shared" si="8"/>
        <v>0</v>
      </c>
      <c r="M40" s="104">
        <f t="shared" si="8"/>
        <v>0</v>
      </c>
    </row>
    <row r="41" spans="1:13">
      <c r="A41" s="158"/>
      <c r="B41" s="98" t="s">
        <v>121</v>
      </c>
      <c r="C41" s="89">
        <f t="shared" si="4"/>
        <v>0</v>
      </c>
      <c r="D41" s="103">
        <f t="shared" ref="D41:M41" si="9">D12-D26</f>
        <v>0</v>
      </c>
      <c r="E41" s="86">
        <f t="shared" si="9"/>
        <v>0</v>
      </c>
      <c r="F41" s="86">
        <f t="shared" si="9"/>
        <v>0</v>
      </c>
      <c r="G41" s="86">
        <f t="shared" si="9"/>
        <v>0</v>
      </c>
      <c r="H41" s="86">
        <f t="shared" si="9"/>
        <v>0</v>
      </c>
      <c r="I41" s="86">
        <f t="shared" si="9"/>
        <v>0</v>
      </c>
      <c r="J41" s="86">
        <f t="shared" si="9"/>
        <v>0</v>
      </c>
      <c r="K41" s="86">
        <f t="shared" si="9"/>
        <v>0</v>
      </c>
      <c r="L41" s="123">
        <f t="shared" si="9"/>
        <v>0</v>
      </c>
      <c r="M41" s="104">
        <f t="shared" si="9"/>
        <v>0</v>
      </c>
    </row>
    <row r="42" spans="1:13">
      <c r="A42" s="158"/>
      <c r="B42" s="99" t="s">
        <v>122</v>
      </c>
      <c r="C42" s="90">
        <f t="shared" si="4"/>
        <v>0</v>
      </c>
      <c r="D42" s="103">
        <f t="shared" ref="D42:M42" si="10">D13-D27</f>
        <v>0</v>
      </c>
      <c r="E42" s="86">
        <f t="shared" si="10"/>
        <v>0</v>
      </c>
      <c r="F42" s="86">
        <f t="shared" si="10"/>
        <v>0</v>
      </c>
      <c r="G42" s="86">
        <f t="shared" si="10"/>
        <v>0</v>
      </c>
      <c r="H42" s="86">
        <f t="shared" si="10"/>
        <v>0</v>
      </c>
      <c r="I42" s="86">
        <f t="shared" si="10"/>
        <v>0</v>
      </c>
      <c r="J42" s="86">
        <f t="shared" si="10"/>
        <v>0</v>
      </c>
      <c r="K42" s="86">
        <f t="shared" si="10"/>
        <v>0</v>
      </c>
      <c r="L42" s="123">
        <f t="shared" si="10"/>
        <v>0</v>
      </c>
      <c r="M42" s="104">
        <f t="shared" si="10"/>
        <v>0</v>
      </c>
    </row>
    <row r="43" spans="1:13" ht="15.75" thickBot="1">
      <c r="A43" s="158"/>
      <c r="B43" s="98" t="s">
        <v>785</v>
      </c>
      <c r="C43" s="89">
        <f t="shared" si="4"/>
        <v>780213.14630000014</v>
      </c>
      <c r="D43" s="103">
        <f t="shared" ref="D43:M43" si="11">D14</f>
        <v>712677.14630000014</v>
      </c>
      <c r="E43" s="86">
        <f t="shared" si="11"/>
        <v>45024</v>
      </c>
      <c r="F43" s="86">
        <f t="shared" si="11"/>
        <v>22512</v>
      </c>
      <c r="G43" s="86">
        <f t="shared" si="11"/>
        <v>0</v>
      </c>
      <c r="H43" s="86">
        <f t="shared" si="11"/>
        <v>0</v>
      </c>
      <c r="I43" s="86">
        <f t="shared" si="11"/>
        <v>0</v>
      </c>
      <c r="J43" s="86">
        <f t="shared" si="11"/>
        <v>0</v>
      </c>
      <c r="K43" s="86">
        <f t="shared" si="11"/>
        <v>0</v>
      </c>
      <c r="L43" s="123">
        <f t="shared" si="11"/>
        <v>0</v>
      </c>
      <c r="M43" s="104">
        <f t="shared" si="11"/>
        <v>0</v>
      </c>
    </row>
    <row r="44" spans="1:13" ht="15.75" thickBot="1">
      <c r="A44" s="159"/>
      <c r="B44" s="85" t="s">
        <v>103</v>
      </c>
      <c r="C44" s="91">
        <f>SUM(D44:M44)</f>
        <v>28334441.018983312</v>
      </c>
      <c r="D44" s="87">
        <f>SUM(D36:D43)</f>
        <v>7466498.8210545983</v>
      </c>
      <c r="E44" s="87">
        <f t="shared" ref="E44:M44" si="12">SUM(E36:E43)</f>
        <v>2061116.8431592281</v>
      </c>
      <c r="F44" s="87">
        <f t="shared" si="12"/>
        <v>5062044.6596694812</v>
      </c>
      <c r="G44" s="87">
        <f t="shared" si="12"/>
        <v>1963540.0992999999</v>
      </c>
      <c r="H44" s="87">
        <f t="shared" si="12"/>
        <v>1963540.0992999999</v>
      </c>
      <c r="I44" s="87">
        <f t="shared" si="12"/>
        <v>1963540.0992999999</v>
      </c>
      <c r="J44" s="87">
        <f t="shared" si="12"/>
        <v>1963540.0992999999</v>
      </c>
      <c r="K44" s="87">
        <f t="shared" si="12"/>
        <v>1963540.0992999999</v>
      </c>
      <c r="L44" s="87">
        <f t="shared" si="12"/>
        <v>1963540.0992999999</v>
      </c>
      <c r="M44" s="87">
        <f t="shared" si="12"/>
        <v>1963540.0992999999</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10">
    <tabColor rgb="FFFFFF00"/>
    <outlinePr summaryBelow="0" summaryRight="0"/>
  </sheetPr>
  <dimension ref="A1:E75"/>
  <sheetViews>
    <sheetView zoomScale="80" zoomScaleNormal="80" workbookViewId="0">
      <pane xSplit="3" ySplit="4" topLeftCell="D5" activePane="bottomRight" state="frozen"/>
      <selection activeCell="G18" sqref="G18"/>
      <selection pane="topRight" activeCell="G18" sqref="G18"/>
      <selection pane="bottomLeft" activeCell="G18" sqref="G18"/>
      <selection pane="bottomRight" activeCell="E35" sqref="E35"/>
    </sheetView>
  </sheetViews>
  <sheetFormatPr defaultColWidth="8.85546875" defaultRowHeight="15" outlineLevelRow="2"/>
  <cols>
    <col min="1" max="1" width="22.42578125" customWidth="1"/>
    <col min="2" max="2" width="24.7109375" customWidth="1"/>
    <col min="3" max="3" width="22.42578125" customWidth="1"/>
    <col min="4" max="4" width="11" customWidth="1"/>
    <col min="5" max="5" width="17.85546875" customWidth="1"/>
  </cols>
  <sheetData>
    <row r="1" spans="1:5" ht="25.35" customHeight="1" thickBot="1">
      <c r="A1" s="809" t="s">
        <v>98</v>
      </c>
      <c r="B1" s="809"/>
      <c r="C1" s="809"/>
      <c r="D1" s="810"/>
      <c r="E1" s="66" t="s">
        <v>35</v>
      </c>
    </row>
    <row r="2" spans="1:5" ht="15.75" collapsed="1" thickBot="1">
      <c r="A2" s="36" t="s">
        <v>0</v>
      </c>
      <c r="B2" s="70" t="s">
        <v>75</v>
      </c>
      <c r="C2" s="70" t="s">
        <v>74</v>
      </c>
      <c r="D2" s="70" t="s">
        <v>23</v>
      </c>
      <c r="E2" s="17"/>
    </row>
    <row r="3" spans="1:5" ht="15.75" thickBot="1">
      <c r="A3" s="811" t="s">
        <v>79</v>
      </c>
      <c r="B3" s="812"/>
      <c r="C3" s="812"/>
      <c r="D3" s="75"/>
      <c r="E3" s="72">
        <f>E4+E25</f>
        <v>0</v>
      </c>
    </row>
    <row r="4" spans="1:5" ht="15.75" outlineLevel="1" thickBot="1">
      <c r="A4" s="17" t="s">
        <v>105</v>
      </c>
      <c r="B4" s="17"/>
      <c r="C4" s="17"/>
      <c r="D4" s="27"/>
      <c r="E4" s="108">
        <f>SUM(E5:E24)</f>
        <v>0</v>
      </c>
    </row>
    <row r="5" spans="1:5" outlineLevel="2">
      <c r="A5" s="807" t="s">
        <v>80</v>
      </c>
      <c r="B5" s="808" t="s">
        <v>81</v>
      </c>
      <c r="C5" s="808">
        <v>635009</v>
      </c>
      <c r="D5" s="63" t="s">
        <v>25</v>
      </c>
      <c r="E5" s="555">
        <v>0</v>
      </c>
    </row>
    <row r="6" spans="1:5" outlineLevel="2">
      <c r="A6" s="807"/>
      <c r="B6" s="808"/>
      <c r="C6" s="808"/>
      <c r="D6" s="64" t="s">
        <v>26</v>
      </c>
      <c r="E6" s="556">
        <v>0</v>
      </c>
    </row>
    <row r="7" spans="1:5" outlineLevel="2">
      <c r="A7" s="807"/>
      <c r="B7" s="808"/>
      <c r="C7" s="808"/>
      <c r="D7" s="64" t="s">
        <v>27</v>
      </c>
      <c r="E7" s="556">
        <v>0</v>
      </c>
    </row>
    <row r="8" spans="1:5" outlineLevel="2">
      <c r="A8" s="807"/>
      <c r="B8" s="808"/>
      <c r="C8" s="808"/>
      <c r="D8" s="64" t="s">
        <v>28</v>
      </c>
      <c r="E8" s="556">
        <v>0</v>
      </c>
    </row>
    <row r="9" spans="1:5" outlineLevel="2">
      <c r="A9" s="807"/>
      <c r="B9" s="808"/>
      <c r="C9" s="808"/>
      <c r="D9" s="64" t="s">
        <v>29</v>
      </c>
      <c r="E9" s="556">
        <v>0</v>
      </c>
    </row>
    <row r="10" spans="1:5" outlineLevel="2">
      <c r="A10" s="807"/>
      <c r="B10" s="808"/>
      <c r="C10" s="808"/>
      <c r="D10" s="64" t="s">
        <v>30</v>
      </c>
      <c r="E10" s="556">
        <v>0</v>
      </c>
    </row>
    <row r="11" spans="1:5" outlineLevel="2">
      <c r="A11" s="807"/>
      <c r="B11" s="808"/>
      <c r="C11" s="808"/>
      <c r="D11" s="64" t="s">
        <v>31</v>
      </c>
      <c r="E11" s="556">
        <v>0</v>
      </c>
    </row>
    <row r="12" spans="1:5" outlineLevel="2">
      <c r="A12" s="807"/>
      <c r="B12" s="808"/>
      <c r="C12" s="808"/>
      <c r="D12" s="64" t="s">
        <v>32</v>
      </c>
      <c r="E12" s="556">
        <v>0</v>
      </c>
    </row>
    <row r="13" spans="1:5" outlineLevel="2">
      <c r="A13" s="807"/>
      <c r="B13" s="808"/>
      <c r="C13" s="808"/>
      <c r="D13" s="64" t="s">
        <v>33</v>
      </c>
      <c r="E13" s="556">
        <v>0</v>
      </c>
    </row>
    <row r="14" spans="1:5" ht="15.75" outlineLevel="2" thickBot="1">
      <c r="A14" s="807"/>
      <c r="B14" s="808"/>
      <c r="C14" s="808"/>
      <c r="D14" s="65" t="s">
        <v>34</v>
      </c>
      <c r="E14" s="557">
        <v>0</v>
      </c>
    </row>
    <row r="15" spans="1:5" outlineLevel="2">
      <c r="A15" s="807" t="s">
        <v>82</v>
      </c>
      <c r="B15" s="808" t="s">
        <v>73</v>
      </c>
      <c r="C15" s="808">
        <v>718006</v>
      </c>
      <c r="D15" s="63" t="s">
        <v>25</v>
      </c>
      <c r="E15" s="556">
        <v>0</v>
      </c>
    </row>
    <row r="16" spans="1:5" outlineLevel="2">
      <c r="A16" s="807"/>
      <c r="B16" s="808"/>
      <c r="C16" s="808"/>
      <c r="D16" s="64" t="s">
        <v>26</v>
      </c>
      <c r="E16" s="556">
        <v>0</v>
      </c>
    </row>
    <row r="17" spans="1:5" outlineLevel="2">
      <c r="A17" s="807"/>
      <c r="B17" s="808"/>
      <c r="C17" s="808"/>
      <c r="D17" s="64" t="s">
        <v>27</v>
      </c>
      <c r="E17" s="556">
        <v>0</v>
      </c>
    </row>
    <row r="18" spans="1:5" outlineLevel="2">
      <c r="A18" s="807"/>
      <c r="B18" s="808"/>
      <c r="C18" s="808"/>
      <c r="D18" s="64" t="s">
        <v>28</v>
      </c>
      <c r="E18" s="556">
        <v>0</v>
      </c>
    </row>
    <row r="19" spans="1:5" outlineLevel="2">
      <c r="A19" s="807"/>
      <c r="B19" s="808"/>
      <c r="C19" s="808"/>
      <c r="D19" s="64" t="s">
        <v>29</v>
      </c>
      <c r="E19" s="556">
        <v>0</v>
      </c>
    </row>
    <row r="20" spans="1:5" outlineLevel="2">
      <c r="A20" s="807"/>
      <c r="B20" s="808"/>
      <c r="C20" s="808"/>
      <c r="D20" s="64" t="s">
        <v>30</v>
      </c>
      <c r="E20" s="556">
        <v>0</v>
      </c>
    </row>
    <row r="21" spans="1:5" outlineLevel="2">
      <c r="A21" s="807"/>
      <c r="B21" s="808"/>
      <c r="C21" s="808"/>
      <c r="D21" s="64" t="s">
        <v>31</v>
      </c>
      <c r="E21" s="556">
        <v>0</v>
      </c>
    </row>
    <row r="22" spans="1:5" outlineLevel="2">
      <c r="A22" s="807"/>
      <c r="B22" s="808"/>
      <c r="C22" s="808"/>
      <c r="D22" s="64" t="s">
        <v>32</v>
      </c>
      <c r="E22" s="556">
        <v>0</v>
      </c>
    </row>
    <row r="23" spans="1:5" outlineLevel="2">
      <c r="A23" s="807"/>
      <c r="B23" s="808"/>
      <c r="C23" s="808"/>
      <c r="D23" s="64" t="s">
        <v>33</v>
      </c>
      <c r="E23" s="556">
        <v>0</v>
      </c>
    </row>
    <row r="24" spans="1:5" ht="15.75" outlineLevel="2" thickBot="1">
      <c r="A24" s="807"/>
      <c r="B24" s="808"/>
      <c r="C24" s="808"/>
      <c r="D24" s="65" t="s">
        <v>34</v>
      </c>
      <c r="E24" s="557">
        <v>0</v>
      </c>
    </row>
    <row r="25" spans="1:5" ht="15.75" outlineLevel="1" thickBot="1">
      <c r="A25" s="17" t="s">
        <v>106</v>
      </c>
      <c r="B25" s="17"/>
      <c r="C25" s="17"/>
      <c r="D25" s="27"/>
      <c r="E25" s="110">
        <f>SUM(E26:E75)</f>
        <v>0</v>
      </c>
    </row>
    <row r="26" spans="1:5" outlineLevel="2">
      <c r="A26" s="807" t="s">
        <v>83</v>
      </c>
      <c r="B26" s="808" t="s">
        <v>81</v>
      </c>
      <c r="C26" s="808">
        <v>635009</v>
      </c>
      <c r="D26" s="63" t="s">
        <v>25</v>
      </c>
      <c r="E26" s="558">
        <v>0</v>
      </c>
    </row>
    <row r="27" spans="1:5" outlineLevel="2">
      <c r="A27" s="807"/>
      <c r="B27" s="808"/>
      <c r="C27" s="808"/>
      <c r="D27" s="64" t="s">
        <v>26</v>
      </c>
      <c r="E27" s="559">
        <v>0</v>
      </c>
    </row>
    <row r="28" spans="1:5" outlineLevel="2">
      <c r="A28" s="807"/>
      <c r="B28" s="808"/>
      <c r="C28" s="808"/>
      <c r="D28" s="64" t="s">
        <v>27</v>
      </c>
      <c r="E28" s="559">
        <v>0</v>
      </c>
    </row>
    <row r="29" spans="1:5" outlineLevel="2">
      <c r="A29" s="807"/>
      <c r="B29" s="808"/>
      <c r="C29" s="808"/>
      <c r="D29" s="64" t="s">
        <v>28</v>
      </c>
      <c r="E29" s="559">
        <v>0</v>
      </c>
    </row>
    <row r="30" spans="1:5" outlineLevel="2">
      <c r="A30" s="807"/>
      <c r="B30" s="808"/>
      <c r="C30" s="808"/>
      <c r="D30" s="64" t="s">
        <v>29</v>
      </c>
      <c r="E30" s="559">
        <v>0</v>
      </c>
    </row>
    <row r="31" spans="1:5" outlineLevel="2">
      <c r="A31" s="807"/>
      <c r="B31" s="808"/>
      <c r="C31" s="808"/>
      <c r="D31" s="64" t="s">
        <v>30</v>
      </c>
      <c r="E31" s="559">
        <v>0</v>
      </c>
    </row>
    <row r="32" spans="1:5" outlineLevel="2">
      <c r="A32" s="807"/>
      <c r="B32" s="808"/>
      <c r="C32" s="808"/>
      <c r="D32" s="64" t="s">
        <v>31</v>
      </c>
      <c r="E32" s="559">
        <v>0</v>
      </c>
    </row>
    <row r="33" spans="1:5" outlineLevel="2">
      <c r="A33" s="807"/>
      <c r="B33" s="808"/>
      <c r="C33" s="808"/>
      <c r="D33" s="64" t="s">
        <v>32</v>
      </c>
      <c r="E33" s="559">
        <v>0</v>
      </c>
    </row>
    <row r="34" spans="1:5" outlineLevel="2">
      <c r="A34" s="807"/>
      <c r="B34" s="808"/>
      <c r="C34" s="808"/>
      <c r="D34" s="64" t="s">
        <v>33</v>
      </c>
      <c r="E34" s="559">
        <v>0</v>
      </c>
    </row>
    <row r="35" spans="1:5" ht="15.75" outlineLevel="2" thickBot="1">
      <c r="A35" s="807"/>
      <c r="B35" s="808"/>
      <c r="C35" s="808"/>
      <c r="D35" s="65" t="s">
        <v>34</v>
      </c>
      <c r="E35" s="560">
        <v>0</v>
      </c>
    </row>
    <row r="36" spans="1:5" outlineLevel="2">
      <c r="A36" s="807" t="s">
        <v>84</v>
      </c>
      <c r="B36" s="808" t="s">
        <v>81</v>
      </c>
      <c r="C36" s="808">
        <v>635009</v>
      </c>
      <c r="D36" s="63" t="s">
        <v>25</v>
      </c>
      <c r="E36" s="558">
        <v>0</v>
      </c>
    </row>
    <row r="37" spans="1:5" outlineLevel="2">
      <c r="A37" s="807"/>
      <c r="B37" s="808"/>
      <c r="C37" s="808"/>
      <c r="D37" s="64" t="s">
        <v>26</v>
      </c>
      <c r="E37" s="559">
        <v>0</v>
      </c>
    </row>
    <row r="38" spans="1:5" outlineLevel="2">
      <c r="A38" s="807"/>
      <c r="B38" s="808"/>
      <c r="C38" s="808"/>
      <c r="D38" s="64" t="s">
        <v>27</v>
      </c>
      <c r="E38" s="559">
        <v>0</v>
      </c>
    </row>
    <row r="39" spans="1:5" outlineLevel="2">
      <c r="A39" s="807"/>
      <c r="B39" s="808"/>
      <c r="C39" s="808"/>
      <c r="D39" s="64" t="s">
        <v>28</v>
      </c>
      <c r="E39" s="559">
        <v>0</v>
      </c>
    </row>
    <row r="40" spans="1:5" outlineLevel="2">
      <c r="A40" s="807"/>
      <c r="B40" s="808"/>
      <c r="C40" s="808"/>
      <c r="D40" s="64" t="s">
        <v>29</v>
      </c>
      <c r="E40" s="559">
        <v>0</v>
      </c>
    </row>
    <row r="41" spans="1:5" outlineLevel="2">
      <c r="A41" s="807"/>
      <c r="B41" s="808"/>
      <c r="C41" s="808"/>
      <c r="D41" s="64" t="s">
        <v>30</v>
      </c>
      <c r="E41" s="559">
        <v>0</v>
      </c>
    </row>
    <row r="42" spans="1:5" outlineLevel="2">
      <c r="A42" s="807"/>
      <c r="B42" s="808"/>
      <c r="C42" s="808"/>
      <c r="D42" s="64" t="s">
        <v>31</v>
      </c>
      <c r="E42" s="559">
        <v>0</v>
      </c>
    </row>
    <row r="43" spans="1:5" outlineLevel="2">
      <c r="A43" s="807"/>
      <c r="B43" s="808"/>
      <c r="C43" s="808"/>
      <c r="D43" s="64" t="s">
        <v>32</v>
      </c>
      <c r="E43" s="559">
        <v>0</v>
      </c>
    </row>
    <row r="44" spans="1:5" outlineLevel="2">
      <c r="A44" s="807"/>
      <c r="B44" s="808"/>
      <c r="C44" s="808"/>
      <c r="D44" s="64" t="s">
        <v>33</v>
      </c>
      <c r="E44" s="559">
        <v>0</v>
      </c>
    </row>
    <row r="45" spans="1:5" ht="15.75" outlineLevel="2" thickBot="1">
      <c r="A45" s="807"/>
      <c r="B45" s="808"/>
      <c r="C45" s="808"/>
      <c r="D45" s="65" t="s">
        <v>34</v>
      </c>
      <c r="E45" s="560">
        <v>0</v>
      </c>
    </row>
    <row r="46" spans="1:5" outlineLevel="2">
      <c r="A46" s="807" t="s">
        <v>85</v>
      </c>
      <c r="B46" s="808" t="s">
        <v>73</v>
      </c>
      <c r="C46" s="808">
        <v>718006</v>
      </c>
      <c r="D46" s="63" t="s">
        <v>25</v>
      </c>
      <c r="E46" s="559">
        <v>0</v>
      </c>
    </row>
    <row r="47" spans="1:5" outlineLevel="2">
      <c r="A47" s="807"/>
      <c r="B47" s="808"/>
      <c r="C47" s="808"/>
      <c r="D47" s="64" t="s">
        <v>26</v>
      </c>
      <c r="E47" s="559">
        <v>0</v>
      </c>
    </row>
    <row r="48" spans="1:5" outlineLevel="2">
      <c r="A48" s="807"/>
      <c r="B48" s="808"/>
      <c r="C48" s="808"/>
      <c r="D48" s="64" t="s">
        <v>27</v>
      </c>
      <c r="E48" s="559">
        <v>0</v>
      </c>
    </row>
    <row r="49" spans="1:5" outlineLevel="2">
      <c r="A49" s="807"/>
      <c r="B49" s="808"/>
      <c r="C49" s="808"/>
      <c r="D49" s="64" t="s">
        <v>28</v>
      </c>
      <c r="E49" s="559">
        <v>0</v>
      </c>
    </row>
    <row r="50" spans="1:5" outlineLevel="2">
      <c r="A50" s="807"/>
      <c r="B50" s="808"/>
      <c r="C50" s="808"/>
      <c r="D50" s="64" t="s">
        <v>29</v>
      </c>
      <c r="E50" s="559">
        <v>0</v>
      </c>
    </row>
    <row r="51" spans="1:5" outlineLevel="2">
      <c r="A51" s="807"/>
      <c r="B51" s="808"/>
      <c r="C51" s="808"/>
      <c r="D51" s="64" t="s">
        <v>30</v>
      </c>
      <c r="E51" s="559">
        <v>0</v>
      </c>
    </row>
    <row r="52" spans="1:5" outlineLevel="2">
      <c r="A52" s="807"/>
      <c r="B52" s="808"/>
      <c r="C52" s="808"/>
      <c r="D52" s="64" t="s">
        <v>31</v>
      </c>
      <c r="E52" s="559">
        <v>0</v>
      </c>
    </row>
    <row r="53" spans="1:5" outlineLevel="2">
      <c r="A53" s="807"/>
      <c r="B53" s="808"/>
      <c r="C53" s="808"/>
      <c r="D53" s="64" t="s">
        <v>32</v>
      </c>
      <c r="E53" s="559">
        <v>0</v>
      </c>
    </row>
    <row r="54" spans="1:5" outlineLevel="2">
      <c r="A54" s="807"/>
      <c r="B54" s="808"/>
      <c r="C54" s="808"/>
      <c r="D54" s="64" t="s">
        <v>33</v>
      </c>
      <c r="E54" s="559">
        <v>0</v>
      </c>
    </row>
    <row r="55" spans="1:5" ht="15.75" outlineLevel="2" thickBot="1">
      <c r="A55" s="807"/>
      <c r="B55" s="808"/>
      <c r="C55" s="808"/>
      <c r="D55" s="65" t="s">
        <v>34</v>
      </c>
      <c r="E55" s="559">
        <v>0</v>
      </c>
    </row>
    <row r="56" spans="1:5" outlineLevel="2">
      <c r="A56" s="807" t="s">
        <v>86</v>
      </c>
      <c r="B56" s="808" t="s">
        <v>528</v>
      </c>
      <c r="C56" s="808">
        <v>610</v>
      </c>
      <c r="D56" s="63" t="s">
        <v>25</v>
      </c>
      <c r="E56" s="558">
        <v>0</v>
      </c>
    </row>
    <row r="57" spans="1:5" outlineLevel="2">
      <c r="A57" s="807"/>
      <c r="B57" s="808"/>
      <c r="C57" s="808"/>
      <c r="D57" s="64" t="s">
        <v>26</v>
      </c>
      <c r="E57" s="559">
        <v>0</v>
      </c>
    </row>
    <row r="58" spans="1:5" outlineLevel="2">
      <c r="A58" s="807"/>
      <c r="B58" s="808"/>
      <c r="C58" s="808"/>
      <c r="D58" s="64" t="s">
        <v>27</v>
      </c>
      <c r="E58" s="559">
        <v>0</v>
      </c>
    </row>
    <row r="59" spans="1:5" outlineLevel="2">
      <c r="A59" s="807"/>
      <c r="B59" s="808"/>
      <c r="C59" s="808"/>
      <c r="D59" s="64" t="s">
        <v>28</v>
      </c>
      <c r="E59" s="559">
        <v>0</v>
      </c>
    </row>
    <row r="60" spans="1:5" outlineLevel="2">
      <c r="A60" s="807"/>
      <c r="B60" s="808"/>
      <c r="C60" s="808"/>
      <c r="D60" s="64" t="s">
        <v>29</v>
      </c>
      <c r="E60" s="559">
        <v>0</v>
      </c>
    </row>
    <row r="61" spans="1:5" outlineLevel="2">
      <c r="A61" s="807"/>
      <c r="B61" s="808"/>
      <c r="C61" s="808"/>
      <c r="D61" s="64" t="s">
        <v>30</v>
      </c>
      <c r="E61" s="559">
        <v>0</v>
      </c>
    </row>
    <row r="62" spans="1:5" outlineLevel="2">
      <c r="A62" s="807"/>
      <c r="B62" s="808"/>
      <c r="C62" s="808"/>
      <c r="D62" s="64" t="s">
        <v>31</v>
      </c>
      <c r="E62" s="559">
        <v>0</v>
      </c>
    </row>
    <row r="63" spans="1:5" outlineLevel="2">
      <c r="A63" s="807"/>
      <c r="B63" s="808"/>
      <c r="C63" s="808"/>
      <c r="D63" s="64" t="s">
        <v>32</v>
      </c>
      <c r="E63" s="559">
        <v>0</v>
      </c>
    </row>
    <row r="64" spans="1:5" outlineLevel="2">
      <c r="A64" s="807"/>
      <c r="B64" s="808"/>
      <c r="C64" s="808"/>
      <c r="D64" s="64" t="s">
        <v>33</v>
      </c>
      <c r="E64" s="559">
        <v>0</v>
      </c>
    </row>
    <row r="65" spans="1:5" ht="15.75" outlineLevel="2" thickBot="1">
      <c r="A65" s="807"/>
      <c r="B65" s="808"/>
      <c r="C65" s="808"/>
      <c r="D65" s="65" t="s">
        <v>34</v>
      </c>
      <c r="E65" s="560">
        <v>0</v>
      </c>
    </row>
    <row r="66" spans="1:5" outlineLevel="2">
      <c r="A66" s="807" t="s">
        <v>77</v>
      </c>
      <c r="B66" s="808" t="s">
        <v>78</v>
      </c>
      <c r="C66" s="808">
        <v>637040</v>
      </c>
      <c r="D66" s="63" t="s">
        <v>25</v>
      </c>
      <c r="E66" s="559">
        <v>0</v>
      </c>
    </row>
    <row r="67" spans="1:5" outlineLevel="2">
      <c r="A67" s="807"/>
      <c r="B67" s="808"/>
      <c r="C67" s="808"/>
      <c r="D67" s="64" t="s">
        <v>26</v>
      </c>
      <c r="E67" s="559">
        <v>0</v>
      </c>
    </row>
    <row r="68" spans="1:5" outlineLevel="2">
      <c r="A68" s="807"/>
      <c r="B68" s="808"/>
      <c r="C68" s="808"/>
      <c r="D68" s="64" t="s">
        <v>27</v>
      </c>
      <c r="E68" s="559">
        <v>0</v>
      </c>
    </row>
    <row r="69" spans="1:5" outlineLevel="2">
      <c r="A69" s="807"/>
      <c r="B69" s="808"/>
      <c r="C69" s="808"/>
      <c r="D69" s="64" t="s">
        <v>28</v>
      </c>
      <c r="E69" s="559">
        <v>0</v>
      </c>
    </row>
    <row r="70" spans="1:5" outlineLevel="2">
      <c r="A70" s="807"/>
      <c r="B70" s="808"/>
      <c r="C70" s="808"/>
      <c r="D70" s="64" t="s">
        <v>29</v>
      </c>
      <c r="E70" s="559">
        <v>0</v>
      </c>
    </row>
    <row r="71" spans="1:5" outlineLevel="2">
      <c r="A71" s="807"/>
      <c r="B71" s="808"/>
      <c r="C71" s="808"/>
      <c r="D71" s="64" t="s">
        <v>30</v>
      </c>
      <c r="E71" s="559">
        <v>0</v>
      </c>
    </row>
    <row r="72" spans="1:5" outlineLevel="2">
      <c r="A72" s="807"/>
      <c r="B72" s="808"/>
      <c r="C72" s="808"/>
      <c r="D72" s="64" t="s">
        <v>31</v>
      </c>
      <c r="E72" s="559">
        <v>0</v>
      </c>
    </row>
    <row r="73" spans="1:5" outlineLevel="2">
      <c r="A73" s="807"/>
      <c r="B73" s="808"/>
      <c r="C73" s="808"/>
      <c r="D73" s="64" t="s">
        <v>32</v>
      </c>
      <c r="E73" s="559">
        <v>0</v>
      </c>
    </row>
    <row r="74" spans="1:5" outlineLevel="2">
      <c r="A74" s="807"/>
      <c r="B74" s="808"/>
      <c r="C74" s="808"/>
      <c r="D74" s="64" t="s">
        <v>33</v>
      </c>
      <c r="E74" s="559">
        <v>0</v>
      </c>
    </row>
    <row r="75" spans="1:5" ht="15.75" outlineLevel="2" thickBot="1">
      <c r="A75" s="807"/>
      <c r="B75" s="808"/>
      <c r="C75" s="808"/>
      <c r="D75" s="65" t="s">
        <v>34</v>
      </c>
      <c r="E75" s="560">
        <v>0</v>
      </c>
    </row>
  </sheetData>
  <mergeCells count="23">
    <mergeCell ref="A1:D1"/>
    <mergeCell ref="A3:C3"/>
    <mergeCell ref="A5:A14"/>
    <mergeCell ref="B5:B14"/>
    <mergeCell ref="C5:C14"/>
    <mergeCell ref="A15:A24"/>
    <mergeCell ref="B15:B24"/>
    <mergeCell ref="C15:C24"/>
    <mergeCell ref="A26:A35"/>
    <mergeCell ref="B26:B35"/>
    <mergeCell ref="C26:C35"/>
    <mergeCell ref="A36:A45"/>
    <mergeCell ref="B36:B45"/>
    <mergeCell ref="C36:C45"/>
    <mergeCell ref="A46:A55"/>
    <mergeCell ref="B46:B55"/>
    <mergeCell ref="C46:C55"/>
    <mergeCell ref="A56:A65"/>
    <mergeCell ref="B56:B65"/>
    <mergeCell ref="C56:C65"/>
    <mergeCell ref="A66:A75"/>
    <mergeCell ref="B66:B75"/>
    <mergeCell ref="C66:C75"/>
  </mergeCells>
  <pageMargins left="0.7" right="0.7" top="0.75" bottom="0.75" header="0.3" footer="0.3"/>
  <pageSetup paperSize="9" scale="6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árok11">
    <tabColor rgb="FFFFFF00"/>
    <outlinePr summaryBelow="0" summaryRight="0"/>
  </sheetPr>
  <dimension ref="A1:E53"/>
  <sheetViews>
    <sheetView view="pageBreakPreview" zoomScaleNormal="85" zoomScaleSheetLayoutView="100" workbookViewId="0">
      <selection activeCell="E12" sqref="E12"/>
    </sheetView>
  </sheetViews>
  <sheetFormatPr defaultColWidth="8.85546875" defaultRowHeight="15" outlineLevelRow="1"/>
  <cols>
    <col min="1" max="1" width="22.42578125" customWidth="1"/>
    <col min="2" max="2" width="23.28515625" customWidth="1"/>
    <col min="3" max="3" width="22.42578125" customWidth="1"/>
    <col min="5" max="5" width="17.85546875" customWidth="1"/>
  </cols>
  <sheetData>
    <row r="1" spans="1:5" ht="25.35" customHeight="1" thickBot="1">
      <c r="A1" s="809" t="s">
        <v>97</v>
      </c>
      <c r="B1" s="809"/>
      <c r="C1" s="809"/>
      <c r="D1" s="810"/>
      <c r="E1" s="66" t="s">
        <v>35</v>
      </c>
    </row>
    <row r="2" spans="1:5" ht="15.75" thickBot="1">
      <c r="A2" s="36" t="s">
        <v>0</v>
      </c>
      <c r="B2" s="70" t="s">
        <v>75</v>
      </c>
      <c r="C2" s="70" t="s">
        <v>74</v>
      </c>
      <c r="D2" s="70" t="s">
        <v>23</v>
      </c>
      <c r="E2" s="17"/>
    </row>
    <row r="3" spans="1:5" ht="15.75" thickBot="1">
      <c r="A3" s="813" t="s">
        <v>88</v>
      </c>
      <c r="B3" s="813"/>
      <c r="C3" s="813"/>
      <c r="D3" s="71"/>
      <c r="E3" s="72">
        <f>SUM(E4:E53)</f>
        <v>0</v>
      </c>
    </row>
    <row r="4" spans="1:5" outlineLevel="1">
      <c r="A4" s="807" t="s">
        <v>93</v>
      </c>
      <c r="B4" s="808" t="s">
        <v>81</v>
      </c>
      <c r="C4" s="808">
        <v>635002</v>
      </c>
      <c r="D4" s="63" t="s">
        <v>25</v>
      </c>
      <c r="E4" s="558">
        <v>0</v>
      </c>
    </row>
    <row r="5" spans="1:5" outlineLevel="1">
      <c r="A5" s="807"/>
      <c r="B5" s="808"/>
      <c r="C5" s="808"/>
      <c r="D5" s="64" t="s">
        <v>26</v>
      </c>
      <c r="E5" s="559">
        <v>0</v>
      </c>
    </row>
    <row r="6" spans="1:5" outlineLevel="1">
      <c r="A6" s="807"/>
      <c r="B6" s="808"/>
      <c r="C6" s="808"/>
      <c r="D6" s="64" t="s">
        <v>27</v>
      </c>
      <c r="E6" s="559">
        <v>0</v>
      </c>
    </row>
    <row r="7" spans="1:5" outlineLevel="1">
      <c r="A7" s="807"/>
      <c r="B7" s="808"/>
      <c r="C7" s="808"/>
      <c r="D7" s="64" t="s">
        <v>28</v>
      </c>
      <c r="E7" s="559">
        <v>0</v>
      </c>
    </row>
    <row r="8" spans="1:5" outlineLevel="1">
      <c r="A8" s="807"/>
      <c r="B8" s="808"/>
      <c r="C8" s="808"/>
      <c r="D8" s="64" t="s">
        <v>29</v>
      </c>
      <c r="E8" s="559">
        <v>0</v>
      </c>
    </row>
    <row r="9" spans="1:5" outlineLevel="1">
      <c r="A9" s="807"/>
      <c r="B9" s="808"/>
      <c r="C9" s="808"/>
      <c r="D9" s="64" t="s">
        <v>30</v>
      </c>
      <c r="E9" s="559">
        <v>0</v>
      </c>
    </row>
    <row r="10" spans="1:5" outlineLevel="1">
      <c r="A10" s="807"/>
      <c r="B10" s="808"/>
      <c r="C10" s="808"/>
      <c r="D10" s="64" t="s">
        <v>31</v>
      </c>
      <c r="E10" s="559">
        <v>0</v>
      </c>
    </row>
    <row r="11" spans="1:5" outlineLevel="1">
      <c r="A11" s="807"/>
      <c r="B11" s="808"/>
      <c r="C11" s="808"/>
      <c r="D11" s="64" t="s">
        <v>32</v>
      </c>
      <c r="E11" s="559">
        <v>0</v>
      </c>
    </row>
    <row r="12" spans="1:5" outlineLevel="1">
      <c r="A12" s="807"/>
      <c r="B12" s="808"/>
      <c r="C12" s="808"/>
      <c r="D12" s="64" t="s">
        <v>33</v>
      </c>
      <c r="E12" s="559">
        <v>0</v>
      </c>
    </row>
    <row r="13" spans="1:5" ht="15.75" outlineLevel="1" thickBot="1">
      <c r="A13" s="807"/>
      <c r="B13" s="808"/>
      <c r="C13" s="808"/>
      <c r="D13" s="65" t="s">
        <v>34</v>
      </c>
      <c r="E13" s="560">
        <v>0</v>
      </c>
    </row>
    <row r="14" spans="1:5" outlineLevel="1">
      <c r="A14" s="807" t="s">
        <v>94</v>
      </c>
      <c r="B14" s="807" t="s">
        <v>92</v>
      </c>
      <c r="C14" s="808">
        <v>718002</v>
      </c>
      <c r="D14" s="63" t="s">
        <v>25</v>
      </c>
      <c r="E14" s="559">
        <v>0</v>
      </c>
    </row>
    <row r="15" spans="1:5" outlineLevel="1">
      <c r="A15" s="807"/>
      <c r="B15" s="808"/>
      <c r="C15" s="808"/>
      <c r="D15" s="64" t="s">
        <v>26</v>
      </c>
      <c r="E15" s="559">
        <v>0</v>
      </c>
    </row>
    <row r="16" spans="1:5" outlineLevel="1">
      <c r="A16" s="807"/>
      <c r="B16" s="808"/>
      <c r="C16" s="808"/>
      <c r="D16" s="64" t="s">
        <v>27</v>
      </c>
      <c r="E16" s="559">
        <v>0</v>
      </c>
    </row>
    <row r="17" spans="1:5" outlineLevel="1">
      <c r="A17" s="807"/>
      <c r="B17" s="808"/>
      <c r="C17" s="808"/>
      <c r="D17" s="64" t="s">
        <v>28</v>
      </c>
      <c r="E17" s="559">
        <v>0</v>
      </c>
    </row>
    <row r="18" spans="1:5" outlineLevel="1">
      <c r="A18" s="807"/>
      <c r="B18" s="808"/>
      <c r="C18" s="808"/>
      <c r="D18" s="64" t="s">
        <v>29</v>
      </c>
      <c r="E18" s="559">
        <v>0</v>
      </c>
    </row>
    <row r="19" spans="1:5" outlineLevel="1">
      <c r="A19" s="807"/>
      <c r="B19" s="808"/>
      <c r="C19" s="808"/>
      <c r="D19" s="64" t="s">
        <v>30</v>
      </c>
      <c r="E19" s="559">
        <v>0</v>
      </c>
    </row>
    <row r="20" spans="1:5" outlineLevel="1">
      <c r="A20" s="807"/>
      <c r="B20" s="808"/>
      <c r="C20" s="808"/>
      <c r="D20" s="64" t="s">
        <v>31</v>
      </c>
      <c r="E20" s="559">
        <v>0</v>
      </c>
    </row>
    <row r="21" spans="1:5" outlineLevel="1">
      <c r="A21" s="807"/>
      <c r="B21" s="808"/>
      <c r="C21" s="808"/>
      <c r="D21" s="64" t="s">
        <v>32</v>
      </c>
      <c r="E21" s="559">
        <v>0</v>
      </c>
    </row>
    <row r="22" spans="1:5" outlineLevel="1">
      <c r="A22" s="807"/>
      <c r="B22" s="808"/>
      <c r="C22" s="808"/>
      <c r="D22" s="64" t="s">
        <v>33</v>
      </c>
      <c r="E22" s="559">
        <v>0</v>
      </c>
    </row>
    <row r="23" spans="1:5" ht="15.75" outlineLevel="1" thickBot="1">
      <c r="A23" s="807"/>
      <c r="B23" s="808"/>
      <c r="C23" s="808"/>
      <c r="D23" s="65" t="s">
        <v>34</v>
      </c>
      <c r="E23" s="560">
        <v>0</v>
      </c>
    </row>
    <row r="24" spans="1:5" outlineLevel="1">
      <c r="A24" s="807" t="s">
        <v>95</v>
      </c>
      <c r="B24" s="808"/>
      <c r="C24" s="808"/>
      <c r="D24" s="63" t="s">
        <v>25</v>
      </c>
      <c r="E24" s="559">
        <v>0</v>
      </c>
    </row>
    <row r="25" spans="1:5" outlineLevel="1">
      <c r="A25" s="807"/>
      <c r="B25" s="808"/>
      <c r="C25" s="808"/>
      <c r="D25" s="64" t="s">
        <v>26</v>
      </c>
      <c r="E25" s="559">
        <v>0</v>
      </c>
    </row>
    <row r="26" spans="1:5" outlineLevel="1">
      <c r="A26" s="807"/>
      <c r="B26" s="808"/>
      <c r="C26" s="808"/>
      <c r="D26" s="64" t="s">
        <v>27</v>
      </c>
      <c r="E26" s="559">
        <v>0</v>
      </c>
    </row>
    <row r="27" spans="1:5" outlineLevel="1">
      <c r="A27" s="807"/>
      <c r="B27" s="808"/>
      <c r="C27" s="808"/>
      <c r="D27" s="64" t="s">
        <v>28</v>
      </c>
      <c r="E27" s="559">
        <v>0</v>
      </c>
    </row>
    <row r="28" spans="1:5" outlineLevel="1">
      <c r="A28" s="807"/>
      <c r="B28" s="808"/>
      <c r="C28" s="808"/>
      <c r="D28" s="64" t="s">
        <v>29</v>
      </c>
      <c r="E28" s="559">
        <v>0</v>
      </c>
    </row>
    <row r="29" spans="1:5" outlineLevel="1">
      <c r="A29" s="807"/>
      <c r="B29" s="808"/>
      <c r="C29" s="808"/>
      <c r="D29" s="64" t="s">
        <v>30</v>
      </c>
      <c r="E29" s="559">
        <v>0</v>
      </c>
    </row>
    <row r="30" spans="1:5" outlineLevel="1">
      <c r="A30" s="807"/>
      <c r="B30" s="808"/>
      <c r="C30" s="808"/>
      <c r="D30" s="64" t="s">
        <v>31</v>
      </c>
      <c r="E30" s="559">
        <v>0</v>
      </c>
    </row>
    <row r="31" spans="1:5" outlineLevel="1">
      <c r="A31" s="807"/>
      <c r="B31" s="808"/>
      <c r="C31" s="808"/>
      <c r="D31" s="64" t="s">
        <v>32</v>
      </c>
      <c r="E31" s="559">
        <v>0</v>
      </c>
    </row>
    <row r="32" spans="1:5" outlineLevel="1">
      <c r="A32" s="807"/>
      <c r="B32" s="808"/>
      <c r="C32" s="808"/>
      <c r="D32" s="64" t="s">
        <v>33</v>
      </c>
      <c r="E32" s="559">
        <v>0</v>
      </c>
    </row>
    <row r="33" spans="1:5" ht="15.75" outlineLevel="1" thickBot="1">
      <c r="A33" s="807"/>
      <c r="B33" s="808"/>
      <c r="C33" s="808"/>
      <c r="D33" s="65" t="s">
        <v>34</v>
      </c>
      <c r="E33" s="560">
        <v>0</v>
      </c>
    </row>
    <row r="34" spans="1:5" outlineLevel="1">
      <c r="A34" s="807" t="s">
        <v>96</v>
      </c>
      <c r="B34" s="808" t="s">
        <v>528</v>
      </c>
      <c r="C34" s="808">
        <v>610</v>
      </c>
      <c r="D34" s="63" t="s">
        <v>25</v>
      </c>
      <c r="E34" s="559">
        <v>0</v>
      </c>
    </row>
    <row r="35" spans="1:5" outlineLevel="1">
      <c r="A35" s="807"/>
      <c r="B35" s="808"/>
      <c r="C35" s="808"/>
      <c r="D35" s="64" t="s">
        <v>26</v>
      </c>
      <c r="E35" s="559">
        <v>0</v>
      </c>
    </row>
    <row r="36" spans="1:5" outlineLevel="1">
      <c r="A36" s="807"/>
      <c r="B36" s="808"/>
      <c r="C36" s="808"/>
      <c r="D36" s="64" t="s">
        <v>27</v>
      </c>
      <c r="E36" s="559">
        <v>0</v>
      </c>
    </row>
    <row r="37" spans="1:5" outlineLevel="1">
      <c r="A37" s="807"/>
      <c r="B37" s="808"/>
      <c r="C37" s="808"/>
      <c r="D37" s="64" t="s">
        <v>28</v>
      </c>
      <c r="E37" s="559">
        <v>0</v>
      </c>
    </row>
    <row r="38" spans="1:5" outlineLevel="1">
      <c r="A38" s="807"/>
      <c r="B38" s="808"/>
      <c r="C38" s="808"/>
      <c r="D38" s="64" t="s">
        <v>29</v>
      </c>
      <c r="E38" s="559">
        <v>0</v>
      </c>
    </row>
    <row r="39" spans="1:5" outlineLevel="1">
      <c r="A39" s="807"/>
      <c r="B39" s="808"/>
      <c r="C39" s="808"/>
      <c r="D39" s="64" t="s">
        <v>30</v>
      </c>
      <c r="E39" s="559">
        <v>0</v>
      </c>
    </row>
    <row r="40" spans="1:5" outlineLevel="1">
      <c r="A40" s="807"/>
      <c r="B40" s="808"/>
      <c r="C40" s="808"/>
      <c r="D40" s="64" t="s">
        <v>31</v>
      </c>
      <c r="E40" s="559">
        <v>0</v>
      </c>
    </row>
    <row r="41" spans="1:5" outlineLevel="1">
      <c r="A41" s="807"/>
      <c r="B41" s="808"/>
      <c r="C41" s="808"/>
      <c r="D41" s="64" t="s">
        <v>32</v>
      </c>
      <c r="E41" s="559">
        <v>0</v>
      </c>
    </row>
    <row r="42" spans="1:5" outlineLevel="1">
      <c r="A42" s="807"/>
      <c r="B42" s="808"/>
      <c r="C42" s="808"/>
      <c r="D42" s="64" t="s">
        <v>33</v>
      </c>
      <c r="E42" s="559">
        <v>0</v>
      </c>
    </row>
    <row r="43" spans="1:5" ht="15.75" outlineLevel="1" thickBot="1">
      <c r="A43" s="807"/>
      <c r="B43" s="808"/>
      <c r="C43" s="808"/>
      <c r="D43" s="65" t="s">
        <v>34</v>
      </c>
      <c r="E43" s="560">
        <v>0</v>
      </c>
    </row>
    <row r="44" spans="1:5" outlineLevel="1">
      <c r="A44" s="807" t="s">
        <v>91</v>
      </c>
      <c r="B44" s="808" t="s">
        <v>78</v>
      </c>
      <c r="C44" s="808">
        <v>637040</v>
      </c>
      <c r="D44" s="63" t="s">
        <v>25</v>
      </c>
      <c r="E44" s="559">
        <v>0</v>
      </c>
    </row>
    <row r="45" spans="1:5" outlineLevel="1">
      <c r="A45" s="807"/>
      <c r="B45" s="808"/>
      <c r="C45" s="808"/>
      <c r="D45" s="64" t="s">
        <v>26</v>
      </c>
      <c r="E45" s="559">
        <v>0</v>
      </c>
    </row>
    <row r="46" spans="1:5" outlineLevel="1">
      <c r="A46" s="807"/>
      <c r="B46" s="808"/>
      <c r="C46" s="808"/>
      <c r="D46" s="64" t="s">
        <v>27</v>
      </c>
      <c r="E46" s="559">
        <v>0</v>
      </c>
    </row>
    <row r="47" spans="1:5" outlineLevel="1">
      <c r="A47" s="807"/>
      <c r="B47" s="808"/>
      <c r="C47" s="808"/>
      <c r="D47" s="64" t="s">
        <v>28</v>
      </c>
      <c r="E47" s="559">
        <v>0</v>
      </c>
    </row>
    <row r="48" spans="1:5" outlineLevel="1">
      <c r="A48" s="807"/>
      <c r="B48" s="808"/>
      <c r="C48" s="808"/>
      <c r="D48" s="64" t="s">
        <v>29</v>
      </c>
      <c r="E48" s="559">
        <v>0</v>
      </c>
    </row>
    <row r="49" spans="1:5" outlineLevel="1">
      <c r="A49" s="807"/>
      <c r="B49" s="808"/>
      <c r="C49" s="808"/>
      <c r="D49" s="64" t="s">
        <v>30</v>
      </c>
      <c r="E49" s="559">
        <v>0</v>
      </c>
    </row>
    <row r="50" spans="1:5" outlineLevel="1">
      <c r="A50" s="807"/>
      <c r="B50" s="808"/>
      <c r="C50" s="808"/>
      <c r="D50" s="64" t="s">
        <v>31</v>
      </c>
      <c r="E50" s="559">
        <v>0</v>
      </c>
    </row>
    <row r="51" spans="1:5" outlineLevel="1">
      <c r="A51" s="807"/>
      <c r="B51" s="808"/>
      <c r="C51" s="808"/>
      <c r="D51" s="64" t="s">
        <v>32</v>
      </c>
      <c r="E51" s="559">
        <v>0</v>
      </c>
    </row>
    <row r="52" spans="1:5" outlineLevel="1">
      <c r="A52" s="807"/>
      <c r="B52" s="808"/>
      <c r="C52" s="808"/>
      <c r="D52" s="64" t="s">
        <v>33</v>
      </c>
      <c r="E52" s="559">
        <v>0</v>
      </c>
    </row>
    <row r="53" spans="1:5" ht="15.75" outlineLevel="1" thickBot="1">
      <c r="A53" s="807"/>
      <c r="B53" s="808"/>
      <c r="C53" s="808"/>
      <c r="D53" s="65" t="s">
        <v>34</v>
      </c>
      <c r="E53" s="560">
        <v>0</v>
      </c>
    </row>
  </sheetData>
  <mergeCells count="17">
    <mergeCell ref="A1:D1"/>
    <mergeCell ref="A3:C3"/>
    <mergeCell ref="A4:A13"/>
    <mergeCell ref="B4:B13"/>
    <mergeCell ref="C4:C13"/>
    <mergeCell ref="A14:A23"/>
    <mergeCell ref="B14:B23"/>
    <mergeCell ref="C14:C23"/>
    <mergeCell ref="A24:A33"/>
    <mergeCell ref="B24:B33"/>
    <mergeCell ref="C24:C33"/>
    <mergeCell ref="A34:A43"/>
    <mergeCell ref="B34:B43"/>
    <mergeCell ref="C34:C43"/>
    <mergeCell ref="A44:A53"/>
    <mergeCell ref="B44:B53"/>
    <mergeCell ref="C44:C53"/>
  </mergeCells>
  <pageMargins left="0.7" right="0.7" top="0.75" bottom="0.75" header="0.3" footer="0.3"/>
  <pageSetup paperSize="9" scale="92"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12">
    <tabColor rgb="FFFFFF00"/>
    <outlinePr summaryBelow="0" summaryRight="0"/>
  </sheetPr>
  <dimension ref="A1:AA191"/>
  <sheetViews>
    <sheetView zoomScaleNormal="70" workbookViewId="0">
      <pane xSplit="3" ySplit="5" topLeftCell="D6" activePane="bottomRight" state="frozen"/>
      <selection activeCell="G18" sqref="G18"/>
      <selection pane="topRight" activeCell="G18" sqref="G18"/>
      <selection pane="bottomLeft" activeCell="G18" sqref="G18"/>
      <selection pane="bottomRight" activeCell="E6" sqref="E6"/>
    </sheetView>
  </sheetViews>
  <sheetFormatPr defaultColWidth="8.85546875" defaultRowHeight="15" outlineLevelRow="2" outlineLevelCol="1"/>
  <cols>
    <col min="1" max="1" width="22.42578125" customWidth="1"/>
    <col min="2" max="2" width="23.28515625" customWidth="1"/>
    <col min="3" max="3" width="22.42578125" customWidth="1"/>
    <col min="5" max="5" width="17.85546875" customWidth="1"/>
    <col min="6" max="26" width="18" customWidth="1" outlineLevel="1"/>
  </cols>
  <sheetData>
    <row r="1" spans="1:26" ht="26.25">
      <c r="A1" s="819"/>
      <c r="B1" s="819"/>
      <c r="C1" s="819"/>
      <c r="D1" s="819"/>
      <c r="F1" s="816" t="s">
        <v>294</v>
      </c>
      <c r="G1" s="816"/>
      <c r="H1" s="816"/>
      <c r="I1" s="816"/>
      <c r="J1" s="816"/>
      <c r="K1" s="816"/>
      <c r="L1" s="816"/>
      <c r="M1" s="816"/>
      <c r="N1" s="816"/>
      <c r="O1" s="816"/>
      <c r="P1" s="816"/>
      <c r="Q1" s="816"/>
      <c r="R1" s="816"/>
      <c r="S1" s="816"/>
      <c r="T1" s="816"/>
      <c r="U1" s="816"/>
      <c r="V1" s="816"/>
      <c r="W1" s="816"/>
      <c r="X1" s="816"/>
      <c r="Y1" s="816"/>
      <c r="Z1" s="816"/>
    </row>
    <row r="2" spans="1:26" ht="35.25" customHeight="1" thickBot="1">
      <c r="A2" s="809" t="s">
        <v>98</v>
      </c>
      <c r="B2" s="809"/>
      <c r="C2" s="809"/>
      <c r="D2" s="810"/>
      <c r="E2" s="66" t="s">
        <v>35</v>
      </c>
      <c r="F2" s="561" t="str">
        <f>MODULY_CBA!$B3</f>
        <v>Distribučné služby – poskytovanie údajov</v>
      </c>
      <c r="G2" s="561" t="str">
        <f>MODULY_CBA!$B4</f>
        <v>Prehliadanie údajov (koncová služba) – základ</v>
      </c>
      <c r="H2" s="561" t="str">
        <f>MODULY_CBA!$B5</f>
        <v>Služba požiadaviek na 3D mapovanie (koncová služba)</v>
      </c>
      <c r="I2" s="561" t="str">
        <f>MODULY_CBA!$B6</f>
        <v>Interné služby – automatizovaná správa údajov (základ)</v>
      </c>
      <c r="J2" s="561" t="str">
        <f>MODULY_CBA!$B7</f>
        <v>Distribučné služby – rozšírenie o 3D vektor LOD2.x</v>
      </c>
      <c r="K2" s="561" t="str">
        <f>MODULY_CBA!$B8</f>
        <v>Prehliadanie 3D údajov + základné analýzy (koncová služba)</v>
      </c>
      <c r="L2" s="561" t="str">
        <f>MODULY_CBA!$B9</f>
        <v>Online vytváranie a dopĺňanie 3D údajov (koncová služba)</v>
      </c>
      <c r="M2" s="561" t="str">
        <f>MODULY_CBA!$B10</f>
        <v>Validácia a zápis do databázy (autorizované údaje)</v>
      </c>
      <c r="N2" s="561" t="str">
        <f>MODULY_CBA!$B11</f>
        <v>Podpora stavebného konania (DOK) – koncová služba</v>
      </c>
      <c r="O2" s="561" t="str">
        <f>MODULY_CBA!$B12</f>
        <v>Vloženie porealizačných údajov nových stavieb</v>
      </c>
      <c r="P2" s="561" t="str">
        <f>MODULY_CBA!$B13</f>
        <v>Rozšírenie interných funkcií pre katalóg a publikovanie</v>
      </c>
      <c r="Q2" s="561" t="str">
        <f>MODULY_CBA!$B14</f>
        <v>Rozšírenie správy používateľov a prístupov (funkčne)</v>
      </c>
      <c r="R2" s="561" t="str">
        <f>MODULY_CBA!$B15</f>
        <v>Kvalita, konzistencia, verzovanie (funkčné prvky)</v>
      </c>
      <c r="S2" s="561" t="str">
        <f>MODULY_CBA!$B16</f>
        <v>Distribúcia – škálovanie a automatizácia</v>
      </c>
      <c r="T2" s="561" t="str">
        <f>MODULY_CBA!$B17</f>
        <v>Prehliadanie a analýzy – pokročilé</v>
      </c>
      <c r="U2" s="561" t="str">
        <f>MODULY_CBA!$B18</f>
        <v>Online tvorba a import – škálovanie</v>
      </c>
      <c r="V2" s="561" t="str">
        <f>MODULY_CBA!$B19</f>
        <v>Podpora stavebného konania – integrácie a audit</v>
      </c>
      <c r="W2" s="561" t="str">
        <f>MODULY_CBA!$B20</f>
        <v>Automatizovaná správa údajov – metadáta, indexácia, archív</v>
      </c>
      <c r="X2" s="561" t="str">
        <f>MODULY_CBA!$B21</f>
        <v>Plánovanie zberu údajov (interná služba)</v>
      </c>
      <c r="Y2" s="561" t="str">
        <f>MODULY_CBA!$B22</f>
        <v>Reporty a exporty pre riadenie (funkčne)</v>
      </c>
      <c r="Z2" s="561">
        <f>MODULY_CBA!$B23</f>
        <v>0</v>
      </c>
    </row>
    <row r="3" spans="1:26" ht="15.75" thickBot="1">
      <c r="A3" s="36" t="s">
        <v>0</v>
      </c>
      <c r="B3" s="70" t="s">
        <v>75</v>
      </c>
      <c r="C3" s="70" t="s">
        <v>74</v>
      </c>
      <c r="D3" s="70" t="s">
        <v>23</v>
      </c>
      <c r="E3" s="17"/>
      <c r="F3" s="17"/>
      <c r="G3" s="17"/>
      <c r="H3" s="17"/>
      <c r="I3" s="17"/>
      <c r="J3" s="17"/>
      <c r="K3" s="17"/>
      <c r="L3" s="17"/>
      <c r="M3" s="17"/>
      <c r="N3" s="17"/>
      <c r="O3" s="17"/>
      <c r="P3" s="17"/>
      <c r="Q3" s="17"/>
      <c r="R3" s="17"/>
      <c r="S3" s="17"/>
      <c r="T3" s="17"/>
      <c r="U3" s="17"/>
      <c r="V3" s="17"/>
      <c r="W3" s="17"/>
      <c r="X3" s="17"/>
      <c r="Y3" s="17"/>
      <c r="Z3" s="17"/>
    </row>
    <row r="4" spans="1:26" ht="15.75" thickBot="1">
      <c r="A4" s="817" t="s">
        <v>115</v>
      </c>
      <c r="B4" s="818"/>
      <c r="C4" s="818"/>
      <c r="D4" s="74"/>
      <c r="E4" s="72">
        <f t="shared" ref="E4:F4" si="0">E5+E36</f>
        <v>11145902.09</v>
      </c>
      <c r="F4" s="73">
        <f t="shared" si="0"/>
        <v>5455402.5987355337</v>
      </c>
      <c r="G4" s="73">
        <f t="shared" ref="G4:Z4" si="1">G5+G36</f>
        <v>228429.6035619374</v>
      </c>
      <c r="H4" s="73">
        <f t="shared" si="1"/>
        <v>314018.41704843543</v>
      </c>
      <c r="I4" s="73">
        <f t="shared" si="1"/>
        <v>405968.56126703811</v>
      </c>
      <c r="J4" s="73">
        <f t="shared" si="1"/>
        <v>106986.01685812259</v>
      </c>
      <c r="K4" s="73">
        <f t="shared" si="1"/>
        <v>234790.934294042</v>
      </c>
      <c r="L4" s="73">
        <f t="shared" si="1"/>
        <v>491557.37475353613</v>
      </c>
      <c r="M4" s="73">
        <f t="shared" si="1"/>
        <v>576567.88544620667</v>
      </c>
      <c r="N4" s="73">
        <f t="shared" si="1"/>
        <v>256188.13766566652</v>
      </c>
      <c r="O4" s="73">
        <f t="shared" si="1"/>
        <v>384571.35789541365</v>
      </c>
      <c r="P4" s="73">
        <f t="shared" si="1"/>
        <v>298982.54440891551</v>
      </c>
      <c r="Q4" s="73">
        <f t="shared" si="1"/>
        <v>213393.73092241751</v>
      </c>
      <c r="R4" s="73">
        <f t="shared" si="1"/>
        <v>213393.73092241751</v>
      </c>
      <c r="S4" s="73">
        <f t="shared" si="1"/>
        <v>320379.74778054003</v>
      </c>
      <c r="T4" s="73">
        <f t="shared" si="1"/>
        <v>363174.15452378913</v>
      </c>
      <c r="U4" s="73">
        <f t="shared" si="1"/>
        <v>341776.95115216455</v>
      </c>
      <c r="V4" s="73">
        <f t="shared" si="1"/>
        <v>171177.62697299614</v>
      </c>
      <c r="W4" s="73">
        <f t="shared" si="1"/>
        <v>298982.54440891551</v>
      </c>
      <c r="X4" s="73">
        <f t="shared" si="1"/>
        <v>341776.95115216455</v>
      </c>
      <c r="Y4" s="73">
        <f t="shared" si="1"/>
        <v>128383.22022974709</v>
      </c>
      <c r="Z4" s="73">
        <f t="shared" si="1"/>
        <v>0</v>
      </c>
    </row>
    <row r="5" spans="1:26" ht="15.75" outlineLevel="1" thickBot="1">
      <c r="A5" s="17" t="s">
        <v>105</v>
      </c>
      <c r="B5" s="17"/>
      <c r="C5" s="17"/>
      <c r="D5" s="27"/>
      <c r="E5" s="72">
        <f t="shared" ref="E5:F5" si="2">SUM(E6:E35)</f>
        <v>4400000</v>
      </c>
      <c r="F5" s="73">
        <f t="shared" si="2"/>
        <v>4400000</v>
      </c>
      <c r="G5" s="73">
        <f t="shared" ref="G5:Z5" si="3">SUM(G6:G35)</f>
        <v>0</v>
      </c>
      <c r="H5" s="73">
        <f t="shared" si="3"/>
        <v>0</v>
      </c>
      <c r="I5" s="73">
        <f t="shared" si="3"/>
        <v>0</v>
      </c>
      <c r="J5" s="73">
        <f t="shared" si="3"/>
        <v>0</v>
      </c>
      <c r="K5" s="73">
        <f t="shared" si="3"/>
        <v>0</v>
      </c>
      <c r="L5" s="73">
        <f t="shared" si="3"/>
        <v>0</v>
      </c>
      <c r="M5" s="73">
        <f t="shared" si="3"/>
        <v>0</v>
      </c>
      <c r="N5" s="73">
        <f t="shared" si="3"/>
        <v>0</v>
      </c>
      <c r="O5" s="73">
        <f t="shared" si="3"/>
        <v>0</v>
      </c>
      <c r="P5" s="73">
        <f t="shared" si="3"/>
        <v>0</v>
      </c>
      <c r="Q5" s="73">
        <f t="shared" si="3"/>
        <v>0</v>
      </c>
      <c r="R5" s="73">
        <f t="shared" si="3"/>
        <v>0</v>
      </c>
      <c r="S5" s="73">
        <f t="shared" si="3"/>
        <v>0</v>
      </c>
      <c r="T5" s="73">
        <f t="shared" si="3"/>
        <v>0</v>
      </c>
      <c r="U5" s="73">
        <f t="shared" si="3"/>
        <v>0</v>
      </c>
      <c r="V5" s="73">
        <f t="shared" si="3"/>
        <v>0</v>
      </c>
      <c r="W5" s="73">
        <f t="shared" si="3"/>
        <v>0</v>
      </c>
      <c r="X5" s="73">
        <f t="shared" si="3"/>
        <v>0</v>
      </c>
      <c r="Y5" s="73">
        <f t="shared" si="3"/>
        <v>0</v>
      </c>
      <c r="Z5" s="73">
        <f t="shared" si="3"/>
        <v>0</v>
      </c>
    </row>
    <row r="6" spans="1:26" outlineLevel="2">
      <c r="A6" s="807" t="s">
        <v>72</v>
      </c>
      <c r="B6" s="808" t="s">
        <v>73</v>
      </c>
      <c r="C6" s="808">
        <v>711003</v>
      </c>
      <c r="D6" s="63">
        <v>1</v>
      </c>
      <c r="E6" s="60">
        <f>SUM(F6:Z6)</f>
        <v>4400000</v>
      </c>
      <c r="F6" s="564">
        <f>IFERROR(SUMIFS('Rozpočet - HW a licencie'!$I$3:$I$102,'Rozpočet - HW a licencie'!$A$3:$A$102,'TCO TO BE- SW'!F$2,'Rozpočet - HW a licencie'!$C$3:$C$102,"SW",'Rozpočet - HW a licencie'!$G$3:$G$102,'TCO TO BE- SW'!$D6,'Rozpočet - HW a licencie'!$D$3:$D$102,$B$6),)</f>
        <v>4400000</v>
      </c>
      <c r="G6" s="564">
        <f>IFERROR(SUMIFS('Rozpočet - HW a licencie'!$I$3:$I$102,'Rozpočet - HW a licencie'!$A$3:$A$102,'TCO TO BE- SW'!G$2,'Rozpočet - HW a licencie'!$C$3:$C$102,"SW",'Rozpočet - HW a licencie'!$G$3:$G$102,'TCO TO BE- SW'!$D6,'Rozpočet - HW a licencie'!$D$3:$D$102,$B$6),)</f>
        <v>0</v>
      </c>
      <c r="H6" s="564">
        <f>IFERROR(SUMIFS('Rozpočet - HW a licencie'!$I$3:$I$102,'Rozpočet - HW a licencie'!$A$3:$A$102,'TCO TO BE- SW'!H$2,'Rozpočet - HW a licencie'!$C$3:$C$102,"SW",'Rozpočet - HW a licencie'!$G$3:$G$102,'TCO TO BE- SW'!$D6,'Rozpočet - HW a licencie'!$D$3:$D$102,$B$6),)</f>
        <v>0</v>
      </c>
      <c r="I6" s="564">
        <f>IFERROR(SUMIFS('Rozpočet - HW a licencie'!$I$3:$I$102,'Rozpočet - HW a licencie'!$A$3:$A$102,'TCO TO BE- SW'!I$2,'Rozpočet - HW a licencie'!$C$3:$C$102,"SW",'Rozpočet - HW a licencie'!$G$3:$G$102,'TCO TO BE- SW'!$D6,'Rozpočet - HW a licencie'!$D$3:$D$102,$B$6),)</f>
        <v>0</v>
      </c>
      <c r="J6" s="564">
        <f>IFERROR(SUMIFS('Rozpočet - HW a licencie'!$I$3:$I$102,'Rozpočet - HW a licencie'!$A$3:$A$102,'TCO TO BE- SW'!J$2,'Rozpočet - HW a licencie'!$C$3:$C$102,"SW",'Rozpočet - HW a licencie'!$G$3:$G$102,'TCO TO BE- SW'!$D6,'Rozpočet - HW a licencie'!$D$3:$D$102,$B$6),)</f>
        <v>0</v>
      </c>
      <c r="K6" s="564">
        <f>IFERROR(SUMIFS('Rozpočet - HW a licencie'!$I$3:$I$102,'Rozpočet - HW a licencie'!$A$3:$A$102,'TCO TO BE- SW'!K$2,'Rozpočet - HW a licencie'!$C$3:$C$102,"SW",'Rozpočet - HW a licencie'!$G$3:$G$102,'TCO TO BE- SW'!$D6,'Rozpočet - HW a licencie'!$D$3:$D$102,$B$6),)</f>
        <v>0</v>
      </c>
      <c r="L6" s="564">
        <f>IFERROR(SUMIFS('Rozpočet - HW a licencie'!$I$3:$I$102,'Rozpočet - HW a licencie'!$A$3:$A$102,'TCO TO BE- SW'!L$2,'Rozpočet - HW a licencie'!$C$3:$C$102,"SW",'Rozpočet - HW a licencie'!$G$3:$G$102,'TCO TO BE- SW'!$D6,'Rozpočet - HW a licencie'!$D$3:$D$102,$B$6),)</f>
        <v>0</v>
      </c>
      <c r="M6" s="564">
        <f>IFERROR(SUMIFS('Rozpočet - HW a licencie'!$I$3:$I$102,'Rozpočet - HW a licencie'!$A$3:$A$102,'TCO TO BE- SW'!M$2,'Rozpočet - HW a licencie'!$C$3:$C$102,"SW",'Rozpočet - HW a licencie'!$G$3:$G$102,'TCO TO BE- SW'!$D6,'Rozpočet - HW a licencie'!$D$3:$D$102,$B$6),)</f>
        <v>0</v>
      </c>
      <c r="N6" s="564">
        <f>IFERROR(SUMIFS('Rozpočet - HW a licencie'!$I$3:$I$102,'Rozpočet - HW a licencie'!$A$3:$A$102,'TCO TO BE- SW'!N$2,'Rozpočet - HW a licencie'!$C$3:$C$102,"SW",'Rozpočet - HW a licencie'!$G$3:$G$102,'TCO TO BE- SW'!$D6,'Rozpočet - HW a licencie'!$D$3:$D$102,$B$6),)</f>
        <v>0</v>
      </c>
      <c r="O6" s="564">
        <f>IFERROR(SUMIFS('Rozpočet - HW a licencie'!$I$3:$I$102,'Rozpočet - HW a licencie'!$A$3:$A$102,'TCO TO BE- SW'!O$2,'Rozpočet - HW a licencie'!$C$3:$C$102,"SW",'Rozpočet - HW a licencie'!$G$3:$G$102,'TCO TO BE- SW'!$D6,'Rozpočet - HW a licencie'!$D$3:$D$102,$B$6),)</f>
        <v>0</v>
      </c>
      <c r="P6" s="564">
        <f>IFERROR(SUMIFS('Rozpočet - HW a licencie'!$I$3:$I$102,'Rozpočet - HW a licencie'!$A$3:$A$102,'TCO TO BE- SW'!P$2,'Rozpočet - HW a licencie'!$C$3:$C$102,"SW",'Rozpočet - HW a licencie'!$G$3:$G$102,'TCO TO BE- SW'!$D6,'Rozpočet - HW a licencie'!$D$3:$D$102,$B$6),)</f>
        <v>0</v>
      </c>
      <c r="Q6" s="564">
        <f>IFERROR(SUMIFS('Rozpočet - HW a licencie'!$I$3:$I$102,'Rozpočet - HW a licencie'!$A$3:$A$102,'TCO TO BE- SW'!Q$2,'Rozpočet - HW a licencie'!$C$3:$C$102,"SW",'Rozpočet - HW a licencie'!$G$3:$G$102,'TCO TO BE- SW'!$D6,'Rozpočet - HW a licencie'!$D$3:$D$102,$B$6),)</f>
        <v>0</v>
      </c>
      <c r="R6" s="564">
        <f>IFERROR(SUMIFS('Rozpočet - HW a licencie'!$I$3:$I$102,'Rozpočet - HW a licencie'!$A$3:$A$102,'TCO TO BE- SW'!R$2,'Rozpočet - HW a licencie'!$C$3:$C$102,"SW",'Rozpočet - HW a licencie'!$G$3:$G$102,'TCO TO BE- SW'!$D6,'Rozpočet - HW a licencie'!$D$3:$D$102,$B$6),)</f>
        <v>0</v>
      </c>
      <c r="S6" s="564">
        <f>IFERROR(SUMIFS('Rozpočet - HW a licencie'!$I$3:$I$102,'Rozpočet - HW a licencie'!$A$3:$A$102,'TCO TO BE- SW'!S$2,'Rozpočet - HW a licencie'!$C$3:$C$102,"SW",'Rozpočet - HW a licencie'!$G$3:$G$102,'TCO TO BE- SW'!$D6,'Rozpočet - HW a licencie'!$D$3:$D$102,$B$6),)</f>
        <v>0</v>
      </c>
      <c r="T6" s="564">
        <f>IFERROR(SUMIFS('Rozpočet - HW a licencie'!$I$3:$I$102,'Rozpočet - HW a licencie'!$A$3:$A$102,'TCO TO BE- SW'!T$2,'Rozpočet - HW a licencie'!$C$3:$C$102,"SW",'Rozpočet - HW a licencie'!$G$3:$G$102,'TCO TO BE- SW'!$D6,'Rozpočet - HW a licencie'!$D$3:$D$102,$B$6),)</f>
        <v>0</v>
      </c>
      <c r="U6" s="564">
        <f>IFERROR(SUMIFS('Rozpočet - HW a licencie'!$I$3:$I$102,'Rozpočet - HW a licencie'!$A$3:$A$102,'TCO TO BE- SW'!U$2,'Rozpočet - HW a licencie'!$C$3:$C$102,"SW",'Rozpočet - HW a licencie'!$G$3:$G$102,'TCO TO BE- SW'!$D6,'Rozpočet - HW a licencie'!$D$3:$D$102,$B$6),)</f>
        <v>0</v>
      </c>
      <c r="V6" s="564">
        <f>IFERROR(SUMIFS('Rozpočet - HW a licencie'!$I$3:$I$102,'Rozpočet - HW a licencie'!$A$3:$A$102,'TCO TO BE- SW'!V$2,'Rozpočet - HW a licencie'!$C$3:$C$102,"SW",'Rozpočet - HW a licencie'!$G$3:$G$102,'TCO TO BE- SW'!$D6,'Rozpočet - HW a licencie'!$D$3:$D$102,$B$6),)</f>
        <v>0</v>
      </c>
      <c r="W6" s="564">
        <f>IFERROR(SUMIFS('Rozpočet - HW a licencie'!$I$3:$I$102,'Rozpočet - HW a licencie'!$A$3:$A$102,'TCO TO BE- SW'!W$2,'Rozpočet - HW a licencie'!$C$3:$C$102,"SW",'Rozpočet - HW a licencie'!$G$3:$G$102,'TCO TO BE- SW'!$D6,'Rozpočet - HW a licencie'!$D$3:$D$102,$B$6),)</f>
        <v>0</v>
      </c>
      <c r="X6" s="564">
        <f>IFERROR(SUMIFS('Rozpočet - HW a licencie'!$I$3:$I$102,'Rozpočet - HW a licencie'!$A$3:$A$102,'TCO TO BE- SW'!X$2,'Rozpočet - HW a licencie'!$C$3:$C$102,"SW",'Rozpočet - HW a licencie'!$G$3:$G$102,'TCO TO BE- SW'!$D6,'Rozpočet - HW a licencie'!$D$3:$D$102,$B$6),)</f>
        <v>0</v>
      </c>
      <c r="Y6" s="564">
        <f>IFERROR(SUMIFS('Rozpočet - HW a licencie'!$I$3:$I$102,'Rozpočet - HW a licencie'!$A$3:$A$102,'TCO TO BE- SW'!Y$2,'Rozpočet - HW a licencie'!$C$3:$C$102,"SW",'Rozpočet - HW a licencie'!$G$3:$G$102,'TCO TO BE- SW'!$D6,'Rozpočet - HW a licencie'!$D$3:$D$102,$B$6),)</f>
        <v>0</v>
      </c>
      <c r="Z6" s="564">
        <f>IFERROR(SUMIFS('Rozpočet - HW a licencie'!$I$3:$I$102,'Rozpočet - HW a licencie'!$A$3:$A$102,'TCO TO BE- SW'!Z$2,'Rozpočet - HW a licencie'!$C$3:$C$102,"SW",'Rozpočet - HW a licencie'!$G$3:$G$102,'TCO TO BE- SW'!$D6,'Rozpočet - HW a licencie'!$D$3:$D$102,$B$6),)</f>
        <v>0</v>
      </c>
    </row>
    <row r="7" spans="1:26" outlineLevel="2">
      <c r="A7" s="807"/>
      <c r="B7" s="808"/>
      <c r="C7" s="808"/>
      <c r="D7" s="64">
        <v>2</v>
      </c>
      <c r="E7" s="61">
        <f t="shared" ref="E7:E35" si="4">SUM(F7:Z7)</f>
        <v>0</v>
      </c>
      <c r="F7" s="565">
        <f>IFERROR(SUMIFS('Rozpočet - HW a licencie'!$I$3:$I$102,'Rozpočet - HW a licencie'!$A$3:$A$102,'TCO TO BE- SW'!F$2,'Rozpočet - HW a licencie'!$C$3:$C$102,"SW",'Rozpočet - HW a licencie'!$G$3:$G$102,'TCO TO BE- SW'!$D7,'Rozpočet - HW a licencie'!$D$3:$D$102,$B$6),)</f>
        <v>0</v>
      </c>
      <c r="G7" s="565">
        <f>IFERROR(SUMIFS('Rozpočet - HW a licencie'!$I$3:$I$102,'Rozpočet - HW a licencie'!$A$3:$A$102,'TCO TO BE- SW'!G$2,'Rozpočet - HW a licencie'!$C$3:$C$102,"SW",'Rozpočet - HW a licencie'!$G$3:$G$102,'TCO TO BE- SW'!$D7,'Rozpočet - HW a licencie'!$D$3:$D$102,$B$6),)</f>
        <v>0</v>
      </c>
      <c r="H7" s="565">
        <f>IFERROR(SUMIFS('Rozpočet - HW a licencie'!$I$3:$I$102,'Rozpočet - HW a licencie'!$A$3:$A$102,'TCO TO BE- SW'!H$2,'Rozpočet - HW a licencie'!$C$3:$C$102,"SW",'Rozpočet - HW a licencie'!$G$3:$G$102,'TCO TO BE- SW'!$D7,'Rozpočet - HW a licencie'!$D$3:$D$102,$B$6),)</f>
        <v>0</v>
      </c>
      <c r="I7" s="565">
        <f>IFERROR(SUMIFS('Rozpočet - HW a licencie'!$I$3:$I$102,'Rozpočet - HW a licencie'!$A$3:$A$102,'TCO TO BE- SW'!I$2,'Rozpočet - HW a licencie'!$C$3:$C$102,"SW",'Rozpočet - HW a licencie'!$G$3:$G$102,'TCO TO BE- SW'!$D7,'Rozpočet - HW a licencie'!$D$3:$D$102,$B$6),)</f>
        <v>0</v>
      </c>
      <c r="J7" s="565">
        <f>IFERROR(SUMIFS('Rozpočet - HW a licencie'!$I$3:$I$102,'Rozpočet - HW a licencie'!$A$3:$A$102,'TCO TO BE- SW'!J$2,'Rozpočet - HW a licencie'!$C$3:$C$102,"SW",'Rozpočet - HW a licencie'!$G$3:$G$102,'TCO TO BE- SW'!$D7,'Rozpočet - HW a licencie'!$D$3:$D$102,$B$6),)</f>
        <v>0</v>
      </c>
      <c r="K7" s="565">
        <f>IFERROR(SUMIFS('Rozpočet - HW a licencie'!$I$3:$I$102,'Rozpočet - HW a licencie'!$A$3:$A$102,'TCO TO BE- SW'!K$2,'Rozpočet - HW a licencie'!$C$3:$C$102,"SW",'Rozpočet - HW a licencie'!$G$3:$G$102,'TCO TO BE- SW'!$D7,'Rozpočet - HW a licencie'!$D$3:$D$102,$B$6),)</f>
        <v>0</v>
      </c>
      <c r="L7" s="565">
        <f>IFERROR(SUMIFS('Rozpočet - HW a licencie'!$I$3:$I$102,'Rozpočet - HW a licencie'!$A$3:$A$102,'TCO TO BE- SW'!L$2,'Rozpočet - HW a licencie'!$C$3:$C$102,"SW",'Rozpočet - HW a licencie'!$G$3:$G$102,'TCO TO BE- SW'!$D7,'Rozpočet - HW a licencie'!$D$3:$D$102,$B$6),)</f>
        <v>0</v>
      </c>
      <c r="M7" s="565">
        <f>IFERROR(SUMIFS('Rozpočet - HW a licencie'!$I$3:$I$102,'Rozpočet - HW a licencie'!$A$3:$A$102,'TCO TO BE- SW'!M$2,'Rozpočet - HW a licencie'!$C$3:$C$102,"SW",'Rozpočet - HW a licencie'!$G$3:$G$102,'TCO TO BE- SW'!$D7,'Rozpočet - HW a licencie'!$D$3:$D$102,$B$6),)</f>
        <v>0</v>
      </c>
      <c r="N7" s="565">
        <f>IFERROR(SUMIFS('Rozpočet - HW a licencie'!$I$3:$I$102,'Rozpočet - HW a licencie'!$A$3:$A$102,'TCO TO BE- SW'!N$2,'Rozpočet - HW a licencie'!$C$3:$C$102,"SW",'Rozpočet - HW a licencie'!$G$3:$G$102,'TCO TO BE- SW'!$D7,'Rozpočet - HW a licencie'!$D$3:$D$102,$B$6),)</f>
        <v>0</v>
      </c>
      <c r="O7" s="565">
        <f>IFERROR(SUMIFS('Rozpočet - HW a licencie'!$I$3:$I$102,'Rozpočet - HW a licencie'!$A$3:$A$102,'TCO TO BE- SW'!O$2,'Rozpočet - HW a licencie'!$C$3:$C$102,"SW",'Rozpočet - HW a licencie'!$G$3:$G$102,'TCO TO BE- SW'!$D7,'Rozpočet - HW a licencie'!$D$3:$D$102,$B$6),)</f>
        <v>0</v>
      </c>
      <c r="P7" s="565">
        <f>IFERROR(SUMIFS('Rozpočet - HW a licencie'!$I$3:$I$102,'Rozpočet - HW a licencie'!$A$3:$A$102,'TCO TO BE- SW'!P$2,'Rozpočet - HW a licencie'!$C$3:$C$102,"SW",'Rozpočet - HW a licencie'!$G$3:$G$102,'TCO TO BE- SW'!$D7,'Rozpočet - HW a licencie'!$D$3:$D$102,$B$6),)</f>
        <v>0</v>
      </c>
      <c r="Q7" s="565">
        <f>IFERROR(SUMIFS('Rozpočet - HW a licencie'!$I$3:$I$102,'Rozpočet - HW a licencie'!$A$3:$A$102,'TCO TO BE- SW'!Q$2,'Rozpočet - HW a licencie'!$C$3:$C$102,"SW",'Rozpočet - HW a licencie'!$G$3:$G$102,'TCO TO BE- SW'!$D7,'Rozpočet - HW a licencie'!$D$3:$D$102,$B$6),)</f>
        <v>0</v>
      </c>
      <c r="R7" s="565">
        <f>IFERROR(SUMIFS('Rozpočet - HW a licencie'!$I$3:$I$102,'Rozpočet - HW a licencie'!$A$3:$A$102,'TCO TO BE- SW'!R$2,'Rozpočet - HW a licencie'!$C$3:$C$102,"SW",'Rozpočet - HW a licencie'!$G$3:$G$102,'TCO TO BE- SW'!$D7,'Rozpočet - HW a licencie'!$D$3:$D$102,$B$6),)</f>
        <v>0</v>
      </c>
      <c r="S7" s="565">
        <f>IFERROR(SUMIFS('Rozpočet - HW a licencie'!$I$3:$I$102,'Rozpočet - HW a licencie'!$A$3:$A$102,'TCO TO BE- SW'!S$2,'Rozpočet - HW a licencie'!$C$3:$C$102,"SW",'Rozpočet - HW a licencie'!$G$3:$G$102,'TCO TO BE- SW'!$D7,'Rozpočet - HW a licencie'!$D$3:$D$102,$B$6),)</f>
        <v>0</v>
      </c>
      <c r="T7" s="565">
        <f>IFERROR(SUMIFS('Rozpočet - HW a licencie'!$I$3:$I$102,'Rozpočet - HW a licencie'!$A$3:$A$102,'TCO TO BE- SW'!T$2,'Rozpočet - HW a licencie'!$C$3:$C$102,"SW",'Rozpočet - HW a licencie'!$G$3:$G$102,'TCO TO BE- SW'!$D7,'Rozpočet - HW a licencie'!$D$3:$D$102,$B$6),)</f>
        <v>0</v>
      </c>
      <c r="U7" s="565">
        <f>IFERROR(SUMIFS('Rozpočet - HW a licencie'!$I$3:$I$102,'Rozpočet - HW a licencie'!$A$3:$A$102,'TCO TO BE- SW'!U$2,'Rozpočet - HW a licencie'!$C$3:$C$102,"SW",'Rozpočet - HW a licencie'!$G$3:$G$102,'TCO TO BE- SW'!$D7,'Rozpočet - HW a licencie'!$D$3:$D$102,$B$6),)</f>
        <v>0</v>
      </c>
      <c r="V7" s="565">
        <f>IFERROR(SUMIFS('Rozpočet - HW a licencie'!$I$3:$I$102,'Rozpočet - HW a licencie'!$A$3:$A$102,'TCO TO BE- SW'!V$2,'Rozpočet - HW a licencie'!$C$3:$C$102,"SW",'Rozpočet - HW a licencie'!$G$3:$G$102,'TCO TO BE- SW'!$D7,'Rozpočet - HW a licencie'!$D$3:$D$102,$B$6),)</f>
        <v>0</v>
      </c>
      <c r="W7" s="565">
        <f>IFERROR(SUMIFS('Rozpočet - HW a licencie'!$I$3:$I$102,'Rozpočet - HW a licencie'!$A$3:$A$102,'TCO TO BE- SW'!W$2,'Rozpočet - HW a licencie'!$C$3:$C$102,"SW",'Rozpočet - HW a licencie'!$G$3:$G$102,'TCO TO BE- SW'!$D7,'Rozpočet - HW a licencie'!$D$3:$D$102,$B$6),)</f>
        <v>0</v>
      </c>
      <c r="X7" s="565">
        <f>IFERROR(SUMIFS('Rozpočet - HW a licencie'!$I$3:$I$102,'Rozpočet - HW a licencie'!$A$3:$A$102,'TCO TO BE- SW'!X$2,'Rozpočet - HW a licencie'!$C$3:$C$102,"SW",'Rozpočet - HW a licencie'!$G$3:$G$102,'TCO TO BE- SW'!$D7,'Rozpočet - HW a licencie'!$D$3:$D$102,$B$6),)</f>
        <v>0</v>
      </c>
      <c r="Y7" s="565">
        <f>IFERROR(SUMIFS('Rozpočet - HW a licencie'!$I$3:$I$102,'Rozpočet - HW a licencie'!$A$3:$A$102,'TCO TO BE- SW'!Y$2,'Rozpočet - HW a licencie'!$C$3:$C$102,"SW",'Rozpočet - HW a licencie'!$G$3:$G$102,'TCO TO BE- SW'!$D7,'Rozpočet - HW a licencie'!$D$3:$D$102,$B$6),)</f>
        <v>0</v>
      </c>
      <c r="Z7" s="565">
        <f>IFERROR(SUMIFS('Rozpočet - HW a licencie'!$I$3:$I$102,'Rozpočet - HW a licencie'!$A$3:$A$102,'TCO TO BE- SW'!Z$2,'Rozpočet - HW a licencie'!$C$3:$C$102,"SW",'Rozpočet - HW a licencie'!$G$3:$G$102,'TCO TO BE- SW'!$D7,'Rozpočet - HW a licencie'!$D$3:$D$102,$B$6),)</f>
        <v>0</v>
      </c>
    </row>
    <row r="8" spans="1:26" outlineLevel="2">
      <c r="A8" s="807"/>
      <c r="B8" s="808"/>
      <c r="C8" s="808"/>
      <c r="D8" s="64">
        <v>3</v>
      </c>
      <c r="E8" s="61">
        <f t="shared" si="4"/>
        <v>0</v>
      </c>
      <c r="F8" s="565">
        <f>IFERROR(SUMIFS('Rozpočet - HW a licencie'!$I$3:$I$102,'Rozpočet - HW a licencie'!$A$3:$A$102,'TCO TO BE- SW'!F$2,'Rozpočet - HW a licencie'!$C$3:$C$102,"SW",'Rozpočet - HW a licencie'!$G$3:$G$102,'TCO TO BE- SW'!$D8,'Rozpočet - HW a licencie'!$D$3:$D$102,$B$6),)</f>
        <v>0</v>
      </c>
      <c r="G8" s="565">
        <f>IFERROR(SUMIFS('Rozpočet - HW a licencie'!$I$3:$I$102,'Rozpočet - HW a licencie'!$A$3:$A$102,'TCO TO BE- SW'!G$2,'Rozpočet - HW a licencie'!$C$3:$C$102,"SW",'Rozpočet - HW a licencie'!$G$3:$G$102,'TCO TO BE- SW'!$D8,'Rozpočet - HW a licencie'!$D$3:$D$102,$B$6),)</f>
        <v>0</v>
      </c>
      <c r="H8" s="565">
        <f>IFERROR(SUMIFS('Rozpočet - HW a licencie'!$I$3:$I$102,'Rozpočet - HW a licencie'!$A$3:$A$102,'TCO TO BE- SW'!H$2,'Rozpočet - HW a licencie'!$C$3:$C$102,"SW",'Rozpočet - HW a licencie'!$G$3:$G$102,'TCO TO BE- SW'!$D8,'Rozpočet - HW a licencie'!$D$3:$D$102,$B$6),)</f>
        <v>0</v>
      </c>
      <c r="I8" s="565">
        <f>IFERROR(SUMIFS('Rozpočet - HW a licencie'!$I$3:$I$102,'Rozpočet - HW a licencie'!$A$3:$A$102,'TCO TO BE- SW'!I$2,'Rozpočet - HW a licencie'!$C$3:$C$102,"SW",'Rozpočet - HW a licencie'!$G$3:$G$102,'TCO TO BE- SW'!$D8,'Rozpočet - HW a licencie'!$D$3:$D$102,$B$6),)</f>
        <v>0</v>
      </c>
      <c r="J8" s="565">
        <f>IFERROR(SUMIFS('Rozpočet - HW a licencie'!$I$3:$I$102,'Rozpočet - HW a licencie'!$A$3:$A$102,'TCO TO BE- SW'!J$2,'Rozpočet - HW a licencie'!$C$3:$C$102,"SW",'Rozpočet - HW a licencie'!$G$3:$G$102,'TCO TO BE- SW'!$D8,'Rozpočet - HW a licencie'!$D$3:$D$102,$B$6),)</f>
        <v>0</v>
      </c>
      <c r="K8" s="565">
        <f>IFERROR(SUMIFS('Rozpočet - HW a licencie'!$I$3:$I$102,'Rozpočet - HW a licencie'!$A$3:$A$102,'TCO TO BE- SW'!K$2,'Rozpočet - HW a licencie'!$C$3:$C$102,"SW",'Rozpočet - HW a licencie'!$G$3:$G$102,'TCO TO BE- SW'!$D8,'Rozpočet - HW a licencie'!$D$3:$D$102,$B$6),)</f>
        <v>0</v>
      </c>
      <c r="L8" s="565">
        <f>IFERROR(SUMIFS('Rozpočet - HW a licencie'!$I$3:$I$102,'Rozpočet - HW a licencie'!$A$3:$A$102,'TCO TO BE- SW'!L$2,'Rozpočet - HW a licencie'!$C$3:$C$102,"SW",'Rozpočet - HW a licencie'!$G$3:$G$102,'TCO TO BE- SW'!$D8,'Rozpočet - HW a licencie'!$D$3:$D$102,$B$6),)</f>
        <v>0</v>
      </c>
      <c r="M8" s="565">
        <f>IFERROR(SUMIFS('Rozpočet - HW a licencie'!$I$3:$I$102,'Rozpočet - HW a licencie'!$A$3:$A$102,'TCO TO BE- SW'!M$2,'Rozpočet - HW a licencie'!$C$3:$C$102,"SW",'Rozpočet - HW a licencie'!$G$3:$G$102,'TCO TO BE- SW'!$D8,'Rozpočet - HW a licencie'!$D$3:$D$102,$B$6),)</f>
        <v>0</v>
      </c>
      <c r="N8" s="565">
        <f>IFERROR(SUMIFS('Rozpočet - HW a licencie'!$I$3:$I$102,'Rozpočet - HW a licencie'!$A$3:$A$102,'TCO TO BE- SW'!N$2,'Rozpočet - HW a licencie'!$C$3:$C$102,"SW",'Rozpočet - HW a licencie'!$G$3:$G$102,'TCO TO BE- SW'!$D8,'Rozpočet - HW a licencie'!$D$3:$D$102,$B$6),)</f>
        <v>0</v>
      </c>
      <c r="O8" s="565">
        <f>IFERROR(SUMIFS('Rozpočet - HW a licencie'!$I$3:$I$102,'Rozpočet - HW a licencie'!$A$3:$A$102,'TCO TO BE- SW'!O$2,'Rozpočet - HW a licencie'!$C$3:$C$102,"SW",'Rozpočet - HW a licencie'!$G$3:$G$102,'TCO TO BE- SW'!$D8,'Rozpočet - HW a licencie'!$D$3:$D$102,$B$6),)</f>
        <v>0</v>
      </c>
      <c r="P8" s="565">
        <f>IFERROR(SUMIFS('Rozpočet - HW a licencie'!$I$3:$I$102,'Rozpočet - HW a licencie'!$A$3:$A$102,'TCO TO BE- SW'!P$2,'Rozpočet - HW a licencie'!$C$3:$C$102,"SW",'Rozpočet - HW a licencie'!$G$3:$G$102,'TCO TO BE- SW'!$D8,'Rozpočet - HW a licencie'!$D$3:$D$102,$B$6),)</f>
        <v>0</v>
      </c>
      <c r="Q8" s="565">
        <f>IFERROR(SUMIFS('Rozpočet - HW a licencie'!$I$3:$I$102,'Rozpočet - HW a licencie'!$A$3:$A$102,'TCO TO BE- SW'!Q$2,'Rozpočet - HW a licencie'!$C$3:$C$102,"SW",'Rozpočet - HW a licencie'!$G$3:$G$102,'TCO TO BE- SW'!$D8,'Rozpočet - HW a licencie'!$D$3:$D$102,$B$6),)</f>
        <v>0</v>
      </c>
      <c r="R8" s="565">
        <f>IFERROR(SUMIFS('Rozpočet - HW a licencie'!$I$3:$I$102,'Rozpočet - HW a licencie'!$A$3:$A$102,'TCO TO BE- SW'!R$2,'Rozpočet - HW a licencie'!$C$3:$C$102,"SW",'Rozpočet - HW a licencie'!$G$3:$G$102,'TCO TO BE- SW'!$D8,'Rozpočet - HW a licencie'!$D$3:$D$102,$B$6),)</f>
        <v>0</v>
      </c>
      <c r="S8" s="565">
        <f>IFERROR(SUMIFS('Rozpočet - HW a licencie'!$I$3:$I$102,'Rozpočet - HW a licencie'!$A$3:$A$102,'TCO TO BE- SW'!S$2,'Rozpočet - HW a licencie'!$C$3:$C$102,"SW",'Rozpočet - HW a licencie'!$G$3:$G$102,'TCO TO BE- SW'!$D8,'Rozpočet - HW a licencie'!$D$3:$D$102,$B$6),)</f>
        <v>0</v>
      </c>
      <c r="T8" s="565">
        <f>IFERROR(SUMIFS('Rozpočet - HW a licencie'!$I$3:$I$102,'Rozpočet - HW a licencie'!$A$3:$A$102,'TCO TO BE- SW'!T$2,'Rozpočet - HW a licencie'!$C$3:$C$102,"SW",'Rozpočet - HW a licencie'!$G$3:$G$102,'TCO TO BE- SW'!$D8,'Rozpočet - HW a licencie'!$D$3:$D$102,$B$6),)</f>
        <v>0</v>
      </c>
      <c r="U8" s="565">
        <f>IFERROR(SUMIFS('Rozpočet - HW a licencie'!$I$3:$I$102,'Rozpočet - HW a licencie'!$A$3:$A$102,'TCO TO BE- SW'!U$2,'Rozpočet - HW a licencie'!$C$3:$C$102,"SW",'Rozpočet - HW a licencie'!$G$3:$G$102,'TCO TO BE- SW'!$D8,'Rozpočet - HW a licencie'!$D$3:$D$102,$B$6),)</f>
        <v>0</v>
      </c>
      <c r="V8" s="565">
        <f>IFERROR(SUMIFS('Rozpočet - HW a licencie'!$I$3:$I$102,'Rozpočet - HW a licencie'!$A$3:$A$102,'TCO TO BE- SW'!V$2,'Rozpočet - HW a licencie'!$C$3:$C$102,"SW",'Rozpočet - HW a licencie'!$G$3:$G$102,'TCO TO BE- SW'!$D8,'Rozpočet - HW a licencie'!$D$3:$D$102,$B$6),)</f>
        <v>0</v>
      </c>
      <c r="W8" s="565">
        <f>IFERROR(SUMIFS('Rozpočet - HW a licencie'!$I$3:$I$102,'Rozpočet - HW a licencie'!$A$3:$A$102,'TCO TO BE- SW'!W$2,'Rozpočet - HW a licencie'!$C$3:$C$102,"SW",'Rozpočet - HW a licencie'!$G$3:$G$102,'TCO TO BE- SW'!$D8,'Rozpočet - HW a licencie'!$D$3:$D$102,$B$6),)</f>
        <v>0</v>
      </c>
      <c r="X8" s="565">
        <f>IFERROR(SUMIFS('Rozpočet - HW a licencie'!$I$3:$I$102,'Rozpočet - HW a licencie'!$A$3:$A$102,'TCO TO BE- SW'!X$2,'Rozpočet - HW a licencie'!$C$3:$C$102,"SW",'Rozpočet - HW a licencie'!$G$3:$G$102,'TCO TO BE- SW'!$D8,'Rozpočet - HW a licencie'!$D$3:$D$102,$B$6),)</f>
        <v>0</v>
      </c>
      <c r="Y8" s="565">
        <f>IFERROR(SUMIFS('Rozpočet - HW a licencie'!$I$3:$I$102,'Rozpočet - HW a licencie'!$A$3:$A$102,'TCO TO BE- SW'!Y$2,'Rozpočet - HW a licencie'!$C$3:$C$102,"SW",'Rozpočet - HW a licencie'!$G$3:$G$102,'TCO TO BE- SW'!$D8,'Rozpočet - HW a licencie'!$D$3:$D$102,$B$6),)</f>
        <v>0</v>
      </c>
      <c r="Z8" s="565">
        <f>IFERROR(SUMIFS('Rozpočet - HW a licencie'!$I$3:$I$102,'Rozpočet - HW a licencie'!$A$3:$A$102,'TCO TO BE- SW'!Z$2,'Rozpočet - HW a licencie'!$C$3:$C$102,"SW",'Rozpočet - HW a licencie'!$G$3:$G$102,'TCO TO BE- SW'!$D8,'Rozpočet - HW a licencie'!$D$3:$D$102,$B$6),)</f>
        <v>0</v>
      </c>
    </row>
    <row r="9" spans="1:26" outlineLevel="2">
      <c r="A9" s="807"/>
      <c r="B9" s="808"/>
      <c r="C9" s="808"/>
      <c r="D9" s="64">
        <v>4</v>
      </c>
      <c r="E9" s="61">
        <f t="shared" si="4"/>
        <v>0</v>
      </c>
      <c r="F9" s="565">
        <f>IFERROR(SUMIFS('Rozpočet - HW a licencie'!$I$3:$I$102,'Rozpočet - HW a licencie'!$A$3:$A$102,'TCO TO BE- SW'!F$2,'Rozpočet - HW a licencie'!$C$3:$C$102,"SW",'Rozpočet - HW a licencie'!$G$3:$G$102,'TCO TO BE- SW'!$D9,'Rozpočet - HW a licencie'!$D$3:$D$102,$B$6),)</f>
        <v>0</v>
      </c>
      <c r="G9" s="565">
        <f>IFERROR(SUMIFS('Rozpočet - HW a licencie'!$I$3:$I$102,'Rozpočet - HW a licencie'!$A$3:$A$102,'TCO TO BE- SW'!G$2,'Rozpočet - HW a licencie'!$C$3:$C$102,"SW",'Rozpočet - HW a licencie'!$G$3:$G$102,'TCO TO BE- SW'!$D9,'Rozpočet - HW a licencie'!$D$3:$D$102,$B$6),)</f>
        <v>0</v>
      </c>
      <c r="H9" s="565">
        <f>IFERROR(SUMIFS('Rozpočet - HW a licencie'!$I$3:$I$102,'Rozpočet - HW a licencie'!$A$3:$A$102,'TCO TO BE- SW'!H$2,'Rozpočet - HW a licencie'!$C$3:$C$102,"SW",'Rozpočet - HW a licencie'!$G$3:$G$102,'TCO TO BE- SW'!$D9,'Rozpočet - HW a licencie'!$D$3:$D$102,$B$6),)</f>
        <v>0</v>
      </c>
      <c r="I9" s="565">
        <f>IFERROR(SUMIFS('Rozpočet - HW a licencie'!$I$3:$I$102,'Rozpočet - HW a licencie'!$A$3:$A$102,'TCO TO BE- SW'!I$2,'Rozpočet - HW a licencie'!$C$3:$C$102,"SW",'Rozpočet - HW a licencie'!$G$3:$G$102,'TCO TO BE- SW'!$D9,'Rozpočet - HW a licencie'!$D$3:$D$102,$B$6),)</f>
        <v>0</v>
      </c>
      <c r="J9" s="565">
        <f>IFERROR(SUMIFS('Rozpočet - HW a licencie'!$I$3:$I$102,'Rozpočet - HW a licencie'!$A$3:$A$102,'TCO TO BE- SW'!J$2,'Rozpočet - HW a licencie'!$C$3:$C$102,"SW",'Rozpočet - HW a licencie'!$G$3:$G$102,'TCO TO BE- SW'!$D9,'Rozpočet - HW a licencie'!$D$3:$D$102,$B$6),)</f>
        <v>0</v>
      </c>
      <c r="K9" s="565">
        <f>IFERROR(SUMIFS('Rozpočet - HW a licencie'!$I$3:$I$102,'Rozpočet - HW a licencie'!$A$3:$A$102,'TCO TO BE- SW'!K$2,'Rozpočet - HW a licencie'!$C$3:$C$102,"SW",'Rozpočet - HW a licencie'!$G$3:$G$102,'TCO TO BE- SW'!$D9,'Rozpočet - HW a licencie'!$D$3:$D$102,$B$6),)</f>
        <v>0</v>
      </c>
      <c r="L9" s="565">
        <f>IFERROR(SUMIFS('Rozpočet - HW a licencie'!$I$3:$I$102,'Rozpočet - HW a licencie'!$A$3:$A$102,'TCO TO BE- SW'!L$2,'Rozpočet - HW a licencie'!$C$3:$C$102,"SW",'Rozpočet - HW a licencie'!$G$3:$G$102,'TCO TO BE- SW'!$D9,'Rozpočet - HW a licencie'!$D$3:$D$102,$B$6),)</f>
        <v>0</v>
      </c>
      <c r="M9" s="565">
        <f>IFERROR(SUMIFS('Rozpočet - HW a licencie'!$I$3:$I$102,'Rozpočet - HW a licencie'!$A$3:$A$102,'TCO TO BE- SW'!M$2,'Rozpočet - HW a licencie'!$C$3:$C$102,"SW",'Rozpočet - HW a licencie'!$G$3:$G$102,'TCO TO BE- SW'!$D9,'Rozpočet - HW a licencie'!$D$3:$D$102,$B$6),)</f>
        <v>0</v>
      </c>
      <c r="N9" s="565">
        <f>IFERROR(SUMIFS('Rozpočet - HW a licencie'!$I$3:$I$102,'Rozpočet - HW a licencie'!$A$3:$A$102,'TCO TO BE- SW'!N$2,'Rozpočet - HW a licencie'!$C$3:$C$102,"SW",'Rozpočet - HW a licencie'!$G$3:$G$102,'TCO TO BE- SW'!$D9,'Rozpočet - HW a licencie'!$D$3:$D$102,$B$6),)</f>
        <v>0</v>
      </c>
      <c r="O9" s="565">
        <f>IFERROR(SUMIFS('Rozpočet - HW a licencie'!$I$3:$I$102,'Rozpočet - HW a licencie'!$A$3:$A$102,'TCO TO BE- SW'!O$2,'Rozpočet - HW a licencie'!$C$3:$C$102,"SW",'Rozpočet - HW a licencie'!$G$3:$G$102,'TCO TO BE- SW'!$D9,'Rozpočet - HW a licencie'!$D$3:$D$102,$B$6),)</f>
        <v>0</v>
      </c>
      <c r="P9" s="565">
        <f>IFERROR(SUMIFS('Rozpočet - HW a licencie'!$I$3:$I$102,'Rozpočet - HW a licencie'!$A$3:$A$102,'TCO TO BE- SW'!P$2,'Rozpočet - HW a licencie'!$C$3:$C$102,"SW",'Rozpočet - HW a licencie'!$G$3:$G$102,'TCO TO BE- SW'!$D9,'Rozpočet - HW a licencie'!$D$3:$D$102,$B$6),)</f>
        <v>0</v>
      </c>
      <c r="Q9" s="565">
        <f>IFERROR(SUMIFS('Rozpočet - HW a licencie'!$I$3:$I$102,'Rozpočet - HW a licencie'!$A$3:$A$102,'TCO TO BE- SW'!Q$2,'Rozpočet - HW a licencie'!$C$3:$C$102,"SW",'Rozpočet - HW a licencie'!$G$3:$G$102,'TCO TO BE- SW'!$D9,'Rozpočet - HW a licencie'!$D$3:$D$102,$B$6),)</f>
        <v>0</v>
      </c>
      <c r="R9" s="565">
        <f>IFERROR(SUMIFS('Rozpočet - HW a licencie'!$I$3:$I$102,'Rozpočet - HW a licencie'!$A$3:$A$102,'TCO TO BE- SW'!R$2,'Rozpočet - HW a licencie'!$C$3:$C$102,"SW",'Rozpočet - HW a licencie'!$G$3:$G$102,'TCO TO BE- SW'!$D9,'Rozpočet - HW a licencie'!$D$3:$D$102,$B$6),)</f>
        <v>0</v>
      </c>
      <c r="S9" s="565">
        <f>IFERROR(SUMIFS('Rozpočet - HW a licencie'!$I$3:$I$102,'Rozpočet - HW a licencie'!$A$3:$A$102,'TCO TO BE- SW'!S$2,'Rozpočet - HW a licencie'!$C$3:$C$102,"SW",'Rozpočet - HW a licencie'!$G$3:$G$102,'TCO TO BE- SW'!$D9,'Rozpočet - HW a licencie'!$D$3:$D$102,$B$6),)</f>
        <v>0</v>
      </c>
      <c r="T9" s="565">
        <f>IFERROR(SUMIFS('Rozpočet - HW a licencie'!$I$3:$I$102,'Rozpočet - HW a licencie'!$A$3:$A$102,'TCO TO BE- SW'!T$2,'Rozpočet - HW a licencie'!$C$3:$C$102,"SW",'Rozpočet - HW a licencie'!$G$3:$G$102,'TCO TO BE- SW'!$D9,'Rozpočet - HW a licencie'!$D$3:$D$102,$B$6),)</f>
        <v>0</v>
      </c>
      <c r="U9" s="565">
        <f>IFERROR(SUMIFS('Rozpočet - HW a licencie'!$I$3:$I$102,'Rozpočet - HW a licencie'!$A$3:$A$102,'TCO TO BE- SW'!U$2,'Rozpočet - HW a licencie'!$C$3:$C$102,"SW",'Rozpočet - HW a licencie'!$G$3:$G$102,'TCO TO BE- SW'!$D9,'Rozpočet - HW a licencie'!$D$3:$D$102,$B$6),)</f>
        <v>0</v>
      </c>
      <c r="V9" s="565">
        <f>IFERROR(SUMIFS('Rozpočet - HW a licencie'!$I$3:$I$102,'Rozpočet - HW a licencie'!$A$3:$A$102,'TCO TO BE- SW'!V$2,'Rozpočet - HW a licencie'!$C$3:$C$102,"SW",'Rozpočet - HW a licencie'!$G$3:$G$102,'TCO TO BE- SW'!$D9,'Rozpočet - HW a licencie'!$D$3:$D$102,$B$6),)</f>
        <v>0</v>
      </c>
      <c r="W9" s="565">
        <f>IFERROR(SUMIFS('Rozpočet - HW a licencie'!$I$3:$I$102,'Rozpočet - HW a licencie'!$A$3:$A$102,'TCO TO BE- SW'!W$2,'Rozpočet - HW a licencie'!$C$3:$C$102,"SW",'Rozpočet - HW a licencie'!$G$3:$G$102,'TCO TO BE- SW'!$D9,'Rozpočet - HW a licencie'!$D$3:$D$102,$B$6),)</f>
        <v>0</v>
      </c>
      <c r="X9" s="565">
        <f>IFERROR(SUMIFS('Rozpočet - HW a licencie'!$I$3:$I$102,'Rozpočet - HW a licencie'!$A$3:$A$102,'TCO TO BE- SW'!X$2,'Rozpočet - HW a licencie'!$C$3:$C$102,"SW",'Rozpočet - HW a licencie'!$G$3:$G$102,'TCO TO BE- SW'!$D9,'Rozpočet - HW a licencie'!$D$3:$D$102,$B$6),)</f>
        <v>0</v>
      </c>
      <c r="Y9" s="565">
        <f>IFERROR(SUMIFS('Rozpočet - HW a licencie'!$I$3:$I$102,'Rozpočet - HW a licencie'!$A$3:$A$102,'TCO TO BE- SW'!Y$2,'Rozpočet - HW a licencie'!$C$3:$C$102,"SW",'Rozpočet - HW a licencie'!$G$3:$G$102,'TCO TO BE- SW'!$D9,'Rozpočet - HW a licencie'!$D$3:$D$102,$B$6),)</f>
        <v>0</v>
      </c>
      <c r="Z9" s="565">
        <f>IFERROR(SUMIFS('Rozpočet - HW a licencie'!$I$3:$I$102,'Rozpočet - HW a licencie'!$A$3:$A$102,'TCO TO BE- SW'!Z$2,'Rozpočet - HW a licencie'!$C$3:$C$102,"SW",'Rozpočet - HW a licencie'!$G$3:$G$102,'TCO TO BE- SW'!$D9,'Rozpočet - HW a licencie'!$D$3:$D$102,$B$6),)</f>
        <v>0</v>
      </c>
    </row>
    <row r="10" spans="1:26" outlineLevel="2">
      <c r="A10" s="807"/>
      <c r="B10" s="808"/>
      <c r="C10" s="808"/>
      <c r="D10" s="64">
        <v>5</v>
      </c>
      <c r="E10" s="61">
        <f t="shared" si="4"/>
        <v>0</v>
      </c>
      <c r="F10" s="565">
        <f>IFERROR(SUMIFS('Rozpočet - HW a licencie'!$I$3:$I$102,'Rozpočet - HW a licencie'!$A$3:$A$102,'TCO TO BE- SW'!F$2,'Rozpočet - HW a licencie'!$C$3:$C$102,"SW",'Rozpočet - HW a licencie'!$G$3:$G$102,'TCO TO BE- SW'!$D10,'Rozpočet - HW a licencie'!$D$3:$D$102,$B$6),)</f>
        <v>0</v>
      </c>
      <c r="G10" s="565">
        <f>IFERROR(SUMIFS('Rozpočet - HW a licencie'!$I$3:$I$102,'Rozpočet - HW a licencie'!$A$3:$A$102,'TCO TO BE- SW'!G$2,'Rozpočet - HW a licencie'!$C$3:$C$102,"SW",'Rozpočet - HW a licencie'!$G$3:$G$102,'TCO TO BE- SW'!$D10,'Rozpočet - HW a licencie'!$D$3:$D$102,$B$6),)</f>
        <v>0</v>
      </c>
      <c r="H10" s="565">
        <f>IFERROR(SUMIFS('Rozpočet - HW a licencie'!$I$3:$I$102,'Rozpočet - HW a licencie'!$A$3:$A$102,'TCO TO BE- SW'!H$2,'Rozpočet - HW a licencie'!$C$3:$C$102,"SW",'Rozpočet - HW a licencie'!$G$3:$G$102,'TCO TO BE- SW'!$D10,'Rozpočet - HW a licencie'!$D$3:$D$102,$B$6),)</f>
        <v>0</v>
      </c>
      <c r="I10" s="565">
        <f>IFERROR(SUMIFS('Rozpočet - HW a licencie'!$I$3:$I$102,'Rozpočet - HW a licencie'!$A$3:$A$102,'TCO TO BE- SW'!I$2,'Rozpočet - HW a licencie'!$C$3:$C$102,"SW",'Rozpočet - HW a licencie'!$G$3:$G$102,'TCO TO BE- SW'!$D10,'Rozpočet - HW a licencie'!$D$3:$D$102,$B$6),)</f>
        <v>0</v>
      </c>
      <c r="J10" s="565">
        <f>IFERROR(SUMIFS('Rozpočet - HW a licencie'!$I$3:$I$102,'Rozpočet - HW a licencie'!$A$3:$A$102,'TCO TO BE- SW'!J$2,'Rozpočet - HW a licencie'!$C$3:$C$102,"SW",'Rozpočet - HW a licencie'!$G$3:$G$102,'TCO TO BE- SW'!$D10,'Rozpočet - HW a licencie'!$D$3:$D$102,$B$6),)</f>
        <v>0</v>
      </c>
      <c r="K10" s="565">
        <f>IFERROR(SUMIFS('Rozpočet - HW a licencie'!$I$3:$I$102,'Rozpočet - HW a licencie'!$A$3:$A$102,'TCO TO BE- SW'!K$2,'Rozpočet - HW a licencie'!$C$3:$C$102,"SW",'Rozpočet - HW a licencie'!$G$3:$G$102,'TCO TO BE- SW'!$D10,'Rozpočet - HW a licencie'!$D$3:$D$102,$B$6),)</f>
        <v>0</v>
      </c>
      <c r="L10" s="565">
        <f>IFERROR(SUMIFS('Rozpočet - HW a licencie'!$I$3:$I$102,'Rozpočet - HW a licencie'!$A$3:$A$102,'TCO TO BE- SW'!L$2,'Rozpočet - HW a licencie'!$C$3:$C$102,"SW",'Rozpočet - HW a licencie'!$G$3:$G$102,'TCO TO BE- SW'!$D10,'Rozpočet - HW a licencie'!$D$3:$D$102,$B$6),)</f>
        <v>0</v>
      </c>
      <c r="M10" s="565">
        <f>IFERROR(SUMIFS('Rozpočet - HW a licencie'!$I$3:$I$102,'Rozpočet - HW a licencie'!$A$3:$A$102,'TCO TO BE- SW'!M$2,'Rozpočet - HW a licencie'!$C$3:$C$102,"SW",'Rozpočet - HW a licencie'!$G$3:$G$102,'TCO TO BE- SW'!$D10,'Rozpočet - HW a licencie'!$D$3:$D$102,$B$6),)</f>
        <v>0</v>
      </c>
      <c r="N10" s="565">
        <f>IFERROR(SUMIFS('Rozpočet - HW a licencie'!$I$3:$I$102,'Rozpočet - HW a licencie'!$A$3:$A$102,'TCO TO BE- SW'!N$2,'Rozpočet - HW a licencie'!$C$3:$C$102,"SW",'Rozpočet - HW a licencie'!$G$3:$G$102,'TCO TO BE- SW'!$D10,'Rozpočet - HW a licencie'!$D$3:$D$102,$B$6),)</f>
        <v>0</v>
      </c>
      <c r="O10" s="565">
        <f>IFERROR(SUMIFS('Rozpočet - HW a licencie'!$I$3:$I$102,'Rozpočet - HW a licencie'!$A$3:$A$102,'TCO TO BE- SW'!O$2,'Rozpočet - HW a licencie'!$C$3:$C$102,"SW",'Rozpočet - HW a licencie'!$G$3:$G$102,'TCO TO BE- SW'!$D10,'Rozpočet - HW a licencie'!$D$3:$D$102,$B$6),)</f>
        <v>0</v>
      </c>
      <c r="P10" s="565">
        <f>IFERROR(SUMIFS('Rozpočet - HW a licencie'!$I$3:$I$102,'Rozpočet - HW a licencie'!$A$3:$A$102,'TCO TO BE- SW'!P$2,'Rozpočet - HW a licencie'!$C$3:$C$102,"SW",'Rozpočet - HW a licencie'!$G$3:$G$102,'TCO TO BE- SW'!$D10,'Rozpočet - HW a licencie'!$D$3:$D$102,$B$6),)</f>
        <v>0</v>
      </c>
      <c r="Q10" s="565">
        <f>IFERROR(SUMIFS('Rozpočet - HW a licencie'!$I$3:$I$102,'Rozpočet - HW a licencie'!$A$3:$A$102,'TCO TO BE- SW'!Q$2,'Rozpočet - HW a licencie'!$C$3:$C$102,"SW",'Rozpočet - HW a licencie'!$G$3:$G$102,'TCO TO BE- SW'!$D10,'Rozpočet - HW a licencie'!$D$3:$D$102,$B$6),)</f>
        <v>0</v>
      </c>
      <c r="R10" s="565">
        <f>IFERROR(SUMIFS('Rozpočet - HW a licencie'!$I$3:$I$102,'Rozpočet - HW a licencie'!$A$3:$A$102,'TCO TO BE- SW'!R$2,'Rozpočet - HW a licencie'!$C$3:$C$102,"SW",'Rozpočet - HW a licencie'!$G$3:$G$102,'TCO TO BE- SW'!$D10,'Rozpočet - HW a licencie'!$D$3:$D$102,$B$6),)</f>
        <v>0</v>
      </c>
      <c r="S10" s="565">
        <f>IFERROR(SUMIFS('Rozpočet - HW a licencie'!$I$3:$I$102,'Rozpočet - HW a licencie'!$A$3:$A$102,'TCO TO BE- SW'!S$2,'Rozpočet - HW a licencie'!$C$3:$C$102,"SW",'Rozpočet - HW a licencie'!$G$3:$G$102,'TCO TO BE- SW'!$D10,'Rozpočet - HW a licencie'!$D$3:$D$102,$B$6),)</f>
        <v>0</v>
      </c>
      <c r="T10" s="565">
        <f>IFERROR(SUMIFS('Rozpočet - HW a licencie'!$I$3:$I$102,'Rozpočet - HW a licencie'!$A$3:$A$102,'TCO TO BE- SW'!T$2,'Rozpočet - HW a licencie'!$C$3:$C$102,"SW",'Rozpočet - HW a licencie'!$G$3:$G$102,'TCO TO BE- SW'!$D10,'Rozpočet - HW a licencie'!$D$3:$D$102,$B$6),)</f>
        <v>0</v>
      </c>
      <c r="U10" s="565">
        <f>IFERROR(SUMIFS('Rozpočet - HW a licencie'!$I$3:$I$102,'Rozpočet - HW a licencie'!$A$3:$A$102,'TCO TO BE- SW'!U$2,'Rozpočet - HW a licencie'!$C$3:$C$102,"SW",'Rozpočet - HW a licencie'!$G$3:$G$102,'TCO TO BE- SW'!$D10,'Rozpočet - HW a licencie'!$D$3:$D$102,$B$6),)</f>
        <v>0</v>
      </c>
      <c r="V10" s="565">
        <f>IFERROR(SUMIFS('Rozpočet - HW a licencie'!$I$3:$I$102,'Rozpočet - HW a licencie'!$A$3:$A$102,'TCO TO BE- SW'!V$2,'Rozpočet - HW a licencie'!$C$3:$C$102,"SW",'Rozpočet - HW a licencie'!$G$3:$G$102,'TCO TO BE- SW'!$D10,'Rozpočet - HW a licencie'!$D$3:$D$102,$B$6),)</f>
        <v>0</v>
      </c>
      <c r="W10" s="565">
        <f>IFERROR(SUMIFS('Rozpočet - HW a licencie'!$I$3:$I$102,'Rozpočet - HW a licencie'!$A$3:$A$102,'TCO TO BE- SW'!W$2,'Rozpočet - HW a licencie'!$C$3:$C$102,"SW",'Rozpočet - HW a licencie'!$G$3:$G$102,'TCO TO BE- SW'!$D10,'Rozpočet - HW a licencie'!$D$3:$D$102,$B$6),)</f>
        <v>0</v>
      </c>
      <c r="X10" s="565">
        <f>IFERROR(SUMIFS('Rozpočet - HW a licencie'!$I$3:$I$102,'Rozpočet - HW a licencie'!$A$3:$A$102,'TCO TO BE- SW'!X$2,'Rozpočet - HW a licencie'!$C$3:$C$102,"SW",'Rozpočet - HW a licencie'!$G$3:$G$102,'TCO TO BE- SW'!$D10,'Rozpočet - HW a licencie'!$D$3:$D$102,$B$6),)</f>
        <v>0</v>
      </c>
      <c r="Y10" s="565">
        <f>IFERROR(SUMIFS('Rozpočet - HW a licencie'!$I$3:$I$102,'Rozpočet - HW a licencie'!$A$3:$A$102,'TCO TO BE- SW'!Y$2,'Rozpočet - HW a licencie'!$C$3:$C$102,"SW",'Rozpočet - HW a licencie'!$G$3:$G$102,'TCO TO BE- SW'!$D10,'Rozpočet - HW a licencie'!$D$3:$D$102,$B$6),)</f>
        <v>0</v>
      </c>
      <c r="Z10" s="565">
        <f>IFERROR(SUMIFS('Rozpočet - HW a licencie'!$I$3:$I$102,'Rozpočet - HW a licencie'!$A$3:$A$102,'TCO TO BE- SW'!Z$2,'Rozpočet - HW a licencie'!$C$3:$C$102,"SW",'Rozpočet - HW a licencie'!$G$3:$G$102,'TCO TO BE- SW'!$D10,'Rozpočet - HW a licencie'!$D$3:$D$102,$B$6),)</f>
        <v>0</v>
      </c>
    </row>
    <row r="11" spans="1:26" outlineLevel="2">
      <c r="A11" s="807"/>
      <c r="B11" s="808"/>
      <c r="C11" s="808"/>
      <c r="D11" s="64">
        <v>6</v>
      </c>
      <c r="E11" s="61">
        <f t="shared" si="4"/>
        <v>0</v>
      </c>
      <c r="F11" s="565">
        <f>IFERROR(SUMIFS('Rozpočet - HW a licencie'!$I$3:$I$102,'Rozpočet - HW a licencie'!$A$3:$A$102,'TCO TO BE- SW'!F$2,'Rozpočet - HW a licencie'!$C$3:$C$102,"SW",'Rozpočet - HW a licencie'!$G$3:$G$102,'TCO TO BE- SW'!$D11,'Rozpočet - HW a licencie'!$D$3:$D$102,$B$6),)</f>
        <v>0</v>
      </c>
      <c r="G11" s="565">
        <f>IFERROR(SUMIFS('Rozpočet - HW a licencie'!$I$3:$I$102,'Rozpočet - HW a licencie'!$A$3:$A$102,'TCO TO BE- SW'!G$2,'Rozpočet - HW a licencie'!$C$3:$C$102,"SW",'Rozpočet - HW a licencie'!$G$3:$G$102,'TCO TO BE- SW'!$D11,'Rozpočet - HW a licencie'!$D$3:$D$102,$B$6),)</f>
        <v>0</v>
      </c>
      <c r="H11" s="565">
        <f>IFERROR(SUMIFS('Rozpočet - HW a licencie'!$I$3:$I$102,'Rozpočet - HW a licencie'!$A$3:$A$102,'TCO TO BE- SW'!H$2,'Rozpočet - HW a licencie'!$C$3:$C$102,"SW",'Rozpočet - HW a licencie'!$G$3:$G$102,'TCO TO BE- SW'!$D11,'Rozpočet - HW a licencie'!$D$3:$D$102,$B$6),)</f>
        <v>0</v>
      </c>
      <c r="I11" s="565">
        <f>IFERROR(SUMIFS('Rozpočet - HW a licencie'!$I$3:$I$102,'Rozpočet - HW a licencie'!$A$3:$A$102,'TCO TO BE- SW'!I$2,'Rozpočet - HW a licencie'!$C$3:$C$102,"SW",'Rozpočet - HW a licencie'!$G$3:$G$102,'TCO TO BE- SW'!$D11,'Rozpočet - HW a licencie'!$D$3:$D$102,$B$6),)</f>
        <v>0</v>
      </c>
      <c r="J11" s="565">
        <f>IFERROR(SUMIFS('Rozpočet - HW a licencie'!$I$3:$I$102,'Rozpočet - HW a licencie'!$A$3:$A$102,'TCO TO BE- SW'!J$2,'Rozpočet - HW a licencie'!$C$3:$C$102,"SW",'Rozpočet - HW a licencie'!$G$3:$G$102,'TCO TO BE- SW'!$D11,'Rozpočet - HW a licencie'!$D$3:$D$102,$B$6),)</f>
        <v>0</v>
      </c>
      <c r="K11" s="565">
        <f>IFERROR(SUMIFS('Rozpočet - HW a licencie'!$I$3:$I$102,'Rozpočet - HW a licencie'!$A$3:$A$102,'TCO TO BE- SW'!K$2,'Rozpočet - HW a licencie'!$C$3:$C$102,"SW",'Rozpočet - HW a licencie'!$G$3:$G$102,'TCO TO BE- SW'!$D11,'Rozpočet - HW a licencie'!$D$3:$D$102,$B$6),)</f>
        <v>0</v>
      </c>
      <c r="L11" s="565">
        <f>IFERROR(SUMIFS('Rozpočet - HW a licencie'!$I$3:$I$102,'Rozpočet - HW a licencie'!$A$3:$A$102,'TCO TO BE- SW'!L$2,'Rozpočet - HW a licencie'!$C$3:$C$102,"SW",'Rozpočet - HW a licencie'!$G$3:$G$102,'TCO TO BE- SW'!$D11,'Rozpočet - HW a licencie'!$D$3:$D$102,$B$6),)</f>
        <v>0</v>
      </c>
      <c r="M11" s="565">
        <f>IFERROR(SUMIFS('Rozpočet - HW a licencie'!$I$3:$I$102,'Rozpočet - HW a licencie'!$A$3:$A$102,'TCO TO BE- SW'!M$2,'Rozpočet - HW a licencie'!$C$3:$C$102,"SW",'Rozpočet - HW a licencie'!$G$3:$G$102,'TCO TO BE- SW'!$D11,'Rozpočet - HW a licencie'!$D$3:$D$102,$B$6),)</f>
        <v>0</v>
      </c>
      <c r="N11" s="565">
        <f>IFERROR(SUMIFS('Rozpočet - HW a licencie'!$I$3:$I$102,'Rozpočet - HW a licencie'!$A$3:$A$102,'TCO TO BE- SW'!N$2,'Rozpočet - HW a licencie'!$C$3:$C$102,"SW",'Rozpočet - HW a licencie'!$G$3:$G$102,'TCO TO BE- SW'!$D11,'Rozpočet - HW a licencie'!$D$3:$D$102,$B$6),)</f>
        <v>0</v>
      </c>
      <c r="O11" s="565">
        <f>IFERROR(SUMIFS('Rozpočet - HW a licencie'!$I$3:$I$102,'Rozpočet - HW a licencie'!$A$3:$A$102,'TCO TO BE- SW'!O$2,'Rozpočet - HW a licencie'!$C$3:$C$102,"SW",'Rozpočet - HW a licencie'!$G$3:$G$102,'TCO TO BE- SW'!$D11,'Rozpočet - HW a licencie'!$D$3:$D$102,$B$6),)</f>
        <v>0</v>
      </c>
      <c r="P11" s="565">
        <f>IFERROR(SUMIFS('Rozpočet - HW a licencie'!$I$3:$I$102,'Rozpočet - HW a licencie'!$A$3:$A$102,'TCO TO BE- SW'!P$2,'Rozpočet - HW a licencie'!$C$3:$C$102,"SW",'Rozpočet - HW a licencie'!$G$3:$G$102,'TCO TO BE- SW'!$D11,'Rozpočet - HW a licencie'!$D$3:$D$102,$B$6),)</f>
        <v>0</v>
      </c>
      <c r="Q11" s="565">
        <f>IFERROR(SUMIFS('Rozpočet - HW a licencie'!$I$3:$I$102,'Rozpočet - HW a licencie'!$A$3:$A$102,'TCO TO BE- SW'!Q$2,'Rozpočet - HW a licencie'!$C$3:$C$102,"SW",'Rozpočet - HW a licencie'!$G$3:$G$102,'TCO TO BE- SW'!$D11,'Rozpočet - HW a licencie'!$D$3:$D$102,$B$6),)</f>
        <v>0</v>
      </c>
      <c r="R11" s="565">
        <f>IFERROR(SUMIFS('Rozpočet - HW a licencie'!$I$3:$I$102,'Rozpočet - HW a licencie'!$A$3:$A$102,'TCO TO BE- SW'!R$2,'Rozpočet - HW a licencie'!$C$3:$C$102,"SW",'Rozpočet - HW a licencie'!$G$3:$G$102,'TCO TO BE- SW'!$D11,'Rozpočet - HW a licencie'!$D$3:$D$102,$B$6),)</f>
        <v>0</v>
      </c>
      <c r="S11" s="565">
        <f>IFERROR(SUMIFS('Rozpočet - HW a licencie'!$I$3:$I$102,'Rozpočet - HW a licencie'!$A$3:$A$102,'TCO TO BE- SW'!S$2,'Rozpočet - HW a licencie'!$C$3:$C$102,"SW",'Rozpočet - HW a licencie'!$G$3:$G$102,'TCO TO BE- SW'!$D11,'Rozpočet - HW a licencie'!$D$3:$D$102,$B$6),)</f>
        <v>0</v>
      </c>
      <c r="T11" s="565">
        <f>IFERROR(SUMIFS('Rozpočet - HW a licencie'!$I$3:$I$102,'Rozpočet - HW a licencie'!$A$3:$A$102,'TCO TO BE- SW'!T$2,'Rozpočet - HW a licencie'!$C$3:$C$102,"SW",'Rozpočet - HW a licencie'!$G$3:$G$102,'TCO TO BE- SW'!$D11,'Rozpočet - HW a licencie'!$D$3:$D$102,$B$6),)</f>
        <v>0</v>
      </c>
      <c r="U11" s="565">
        <f>IFERROR(SUMIFS('Rozpočet - HW a licencie'!$I$3:$I$102,'Rozpočet - HW a licencie'!$A$3:$A$102,'TCO TO BE- SW'!U$2,'Rozpočet - HW a licencie'!$C$3:$C$102,"SW",'Rozpočet - HW a licencie'!$G$3:$G$102,'TCO TO BE- SW'!$D11,'Rozpočet - HW a licencie'!$D$3:$D$102,$B$6),)</f>
        <v>0</v>
      </c>
      <c r="V11" s="565">
        <f>IFERROR(SUMIFS('Rozpočet - HW a licencie'!$I$3:$I$102,'Rozpočet - HW a licencie'!$A$3:$A$102,'TCO TO BE- SW'!V$2,'Rozpočet - HW a licencie'!$C$3:$C$102,"SW",'Rozpočet - HW a licencie'!$G$3:$G$102,'TCO TO BE- SW'!$D11,'Rozpočet - HW a licencie'!$D$3:$D$102,$B$6),)</f>
        <v>0</v>
      </c>
      <c r="W11" s="565">
        <f>IFERROR(SUMIFS('Rozpočet - HW a licencie'!$I$3:$I$102,'Rozpočet - HW a licencie'!$A$3:$A$102,'TCO TO BE- SW'!W$2,'Rozpočet - HW a licencie'!$C$3:$C$102,"SW",'Rozpočet - HW a licencie'!$G$3:$G$102,'TCO TO BE- SW'!$D11,'Rozpočet - HW a licencie'!$D$3:$D$102,$B$6),)</f>
        <v>0</v>
      </c>
      <c r="X11" s="565">
        <f>IFERROR(SUMIFS('Rozpočet - HW a licencie'!$I$3:$I$102,'Rozpočet - HW a licencie'!$A$3:$A$102,'TCO TO BE- SW'!X$2,'Rozpočet - HW a licencie'!$C$3:$C$102,"SW",'Rozpočet - HW a licencie'!$G$3:$G$102,'TCO TO BE- SW'!$D11,'Rozpočet - HW a licencie'!$D$3:$D$102,$B$6),)</f>
        <v>0</v>
      </c>
      <c r="Y11" s="565">
        <f>IFERROR(SUMIFS('Rozpočet - HW a licencie'!$I$3:$I$102,'Rozpočet - HW a licencie'!$A$3:$A$102,'TCO TO BE- SW'!Y$2,'Rozpočet - HW a licencie'!$C$3:$C$102,"SW",'Rozpočet - HW a licencie'!$G$3:$G$102,'TCO TO BE- SW'!$D11,'Rozpočet - HW a licencie'!$D$3:$D$102,$B$6),)</f>
        <v>0</v>
      </c>
      <c r="Z11" s="565">
        <f>IFERROR(SUMIFS('Rozpočet - HW a licencie'!$I$3:$I$102,'Rozpočet - HW a licencie'!$A$3:$A$102,'TCO TO BE- SW'!Z$2,'Rozpočet - HW a licencie'!$C$3:$C$102,"SW",'Rozpočet - HW a licencie'!$G$3:$G$102,'TCO TO BE- SW'!$D11,'Rozpočet - HW a licencie'!$D$3:$D$102,$B$6),)</f>
        <v>0</v>
      </c>
    </row>
    <row r="12" spans="1:26" outlineLevel="2">
      <c r="A12" s="807"/>
      <c r="B12" s="808"/>
      <c r="C12" s="808"/>
      <c r="D12" s="64">
        <v>7</v>
      </c>
      <c r="E12" s="61">
        <f t="shared" si="4"/>
        <v>0</v>
      </c>
      <c r="F12" s="565">
        <f>IFERROR(SUMIFS('Rozpočet - HW a licencie'!$I$3:$I$102,'Rozpočet - HW a licencie'!$A$3:$A$102,'TCO TO BE- SW'!F$2,'Rozpočet - HW a licencie'!$C$3:$C$102,"SW",'Rozpočet - HW a licencie'!$G$3:$G$102,'TCO TO BE- SW'!$D12,'Rozpočet - HW a licencie'!$D$3:$D$102,$B$6),)</f>
        <v>0</v>
      </c>
      <c r="G12" s="565">
        <f>IFERROR(SUMIFS('Rozpočet - HW a licencie'!$I$3:$I$102,'Rozpočet - HW a licencie'!$A$3:$A$102,'TCO TO BE- SW'!G$2,'Rozpočet - HW a licencie'!$C$3:$C$102,"SW",'Rozpočet - HW a licencie'!$G$3:$G$102,'TCO TO BE- SW'!$D12,'Rozpočet - HW a licencie'!$D$3:$D$102,$B$6),)</f>
        <v>0</v>
      </c>
      <c r="H12" s="565">
        <f>IFERROR(SUMIFS('Rozpočet - HW a licencie'!$I$3:$I$102,'Rozpočet - HW a licencie'!$A$3:$A$102,'TCO TO BE- SW'!H$2,'Rozpočet - HW a licencie'!$C$3:$C$102,"SW",'Rozpočet - HW a licencie'!$G$3:$G$102,'TCO TO BE- SW'!$D12,'Rozpočet - HW a licencie'!$D$3:$D$102,$B$6),)</f>
        <v>0</v>
      </c>
      <c r="I12" s="565">
        <f>IFERROR(SUMIFS('Rozpočet - HW a licencie'!$I$3:$I$102,'Rozpočet - HW a licencie'!$A$3:$A$102,'TCO TO BE- SW'!I$2,'Rozpočet - HW a licencie'!$C$3:$C$102,"SW",'Rozpočet - HW a licencie'!$G$3:$G$102,'TCO TO BE- SW'!$D12,'Rozpočet - HW a licencie'!$D$3:$D$102,$B$6),)</f>
        <v>0</v>
      </c>
      <c r="J12" s="565">
        <f>IFERROR(SUMIFS('Rozpočet - HW a licencie'!$I$3:$I$102,'Rozpočet - HW a licencie'!$A$3:$A$102,'TCO TO BE- SW'!J$2,'Rozpočet - HW a licencie'!$C$3:$C$102,"SW",'Rozpočet - HW a licencie'!$G$3:$G$102,'TCO TO BE- SW'!$D12,'Rozpočet - HW a licencie'!$D$3:$D$102,$B$6),)</f>
        <v>0</v>
      </c>
      <c r="K12" s="565">
        <f>IFERROR(SUMIFS('Rozpočet - HW a licencie'!$I$3:$I$102,'Rozpočet - HW a licencie'!$A$3:$A$102,'TCO TO BE- SW'!K$2,'Rozpočet - HW a licencie'!$C$3:$C$102,"SW",'Rozpočet - HW a licencie'!$G$3:$G$102,'TCO TO BE- SW'!$D12,'Rozpočet - HW a licencie'!$D$3:$D$102,$B$6),)</f>
        <v>0</v>
      </c>
      <c r="L12" s="565">
        <f>IFERROR(SUMIFS('Rozpočet - HW a licencie'!$I$3:$I$102,'Rozpočet - HW a licencie'!$A$3:$A$102,'TCO TO BE- SW'!L$2,'Rozpočet - HW a licencie'!$C$3:$C$102,"SW",'Rozpočet - HW a licencie'!$G$3:$G$102,'TCO TO BE- SW'!$D12,'Rozpočet - HW a licencie'!$D$3:$D$102,$B$6),)</f>
        <v>0</v>
      </c>
      <c r="M12" s="565">
        <f>IFERROR(SUMIFS('Rozpočet - HW a licencie'!$I$3:$I$102,'Rozpočet - HW a licencie'!$A$3:$A$102,'TCO TO BE- SW'!M$2,'Rozpočet - HW a licencie'!$C$3:$C$102,"SW",'Rozpočet - HW a licencie'!$G$3:$G$102,'TCO TO BE- SW'!$D12,'Rozpočet - HW a licencie'!$D$3:$D$102,$B$6),)</f>
        <v>0</v>
      </c>
      <c r="N12" s="565">
        <f>IFERROR(SUMIFS('Rozpočet - HW a licencie'!$I$3:$I$102,'Rozpočet - HW a licencie'!$A$3:$A$102,'TCO TO BE- SW'!N$2,'Rozpočet - HW a licencie'!$C$3:$C$102,"SW",'Rozpočet - HW a licencie'!$G$3:$G$102,'TCO TO BE- SW'!$D12,'Rozpočet - HW a licencie'!$D$3:$D$102,$B$6),)</f>
        <v>0</v>
      </c>
      <c r="O12" s="565">
        <f>IFERROR(SUMIFS('Rozpočet - HW a licencie'!$I$3:$I$102,'Rozpočet - HW a licencie'!$A$3:$A$102,'TCO TO BE- SW'!O$2,'Rozpočet - HW a licencie'!$C$3:$C$102,"SW",'Rozpočet - HW a licencie'!$G$3:$G$102,'TCO TO BE- SW'!$D12,'Rozpočet - HW a licencie'!$D$3:$D$102,$B$6),)</f>
        <v>0</v>
      </c>
      <c r="P12" s="565">
        <f>IFERROR(SUMIFS('Rozpočet - HW a licencie'!$I$3:$I$102,'Rozpočet - HW a licencie'!$A$3:$A$102,'TCO TO BE- SW'!P$2,'Rozpočet - HW a licencie'!$C$3:$C$102,"SW",'Rozpočet - HW a licencie'!$G$3:$G$102,'TCO TO BE- SW'!$D12,'Rozpočet - HW a licencie'!$D$3:$D$102,$B$6),)</f>
        <v>0</v>
      </c>
      <c r="Q12" s="565">
        <f>IFERROR(SUMIFS('Rozpočet - HW a licencie'!$I$3:$I$102,'Rozpočet - HW a licencie'!$A$3:$A$102,'TCO TO BE- SW'!Q$2,'Rozpočet - HW a licencie'!$C$3:$C$102,"SW",'Rozpočet - HW a licencie'!$G$3:$G$102,'TCO TO BE- SW'!$D12,'Rozpočet - HW a licencie'!$D$3:$D$102,$B$6),)</f>
        <v>0</v>
      </c>
      <c r="R12" s="565">
        <f>IFERROR(SUMIFS('Rozpočet - HW a licencie'!$I$3:$I$102,'Rozpočet - HW a licencie'!$A$3:$A$102,'TCO TO BE- SW'!R$2,'Rozpočet - HW a licencie'!$C$3:$C$102,"SW",'Rozpočet - HW a licencie'!$G$3:$G$102,'TCO TO BE- SW'!$D12,'Rozpočet - HW a licencie'!$D$3:$D$102,$B$6),)</f>
        <v>0</v>
      </c>
      <c r="S12" s="565">
        <f>IFERROR(SUMIFS('Rozpočet - HW a licencie'!$I$3:$I$102,'Rozpočet - HW a licencie'!$A$3:$A$102,'TCO TO BE- SW'!S$2,'Rozpočet - HW a licencie'!$C$3:$C$102,"SW",'Rozpočet - HW a licencie'!$G$3:$G$102,'TCO TO BE- SW'!$D12,'Rozpočet - HW a licencie'!$D$3:$D$102,$B$6),)</f>
        <v>0</v>
      </c>
      <c r="T12" s="565">
        <f>IFERROR(SUMIFS('Rozpočet - HW a licencie'!$I$3:$I$102,'Rozpočet - HW a licencie'!$A$3:$A$102,'TCO TO BE- SW'!T$2,'Rozpočet - HW a licencie'!$C$3:$C$102,"SW",'Rozpočet - HW a licencie'!$G$3:$G$102,'TCO TO BE- SW'!$D12,'Rozpočet - HW a licencie'!$D$3:$D$102,$B$6),)</f>
        <v>0</v>
      </c>
      <c r="U12" s="565">
        <f>IFERROR(SUMIFS('Rozpočet - HW a licencie'!$I$3:$I$102,'Rozpočet - HW a licencie'!$A$3:$A$102,'TCO TO BE- SW'!U$2,'Rozpočet - HW a licencie'!$C$3:$C$102,"SW",'Rozpočet - HW a licencie'!$G$3:$G$102,'TCO TO BE- SW'!$D12,'Rozpočet - HW a licencie'!$D$3:$D$102,$B$6),)</f>
        <v>0</v>
      </c>
      <c r="V12" s="565">
        <f>IFERROR(SUMIFS('Rozpočet - HW a licencie'!$I$3:$I$102,'Rozpočet - HW a licencie'!$A$3:$A$102,'TCO TO BE- SW'!V$2,'Rozpočet - HW a licencie'!$C$3:$C$102,"SW",'Rozpočet - HW a licencie'!$G$3:$G$102,'TCO TO BE- SW'!$D12,'Rozpočet - HW a licencie'!$D$3:$D$102,$B$6),)</f>
        <v>0</v>
      </c>
      <c r="W12" s="565">
        <f>IFERROR(SUMIFS('Rozpočet - HW a licencie'!$I$3:$I$102,'Rozpočet - HW a licencie'!$A$3:$A$102,'TCO TO BE- SW'!W$2,'Rozpočet - HW a licencie'!$C$3:$C$102,"SW",'Rozpočet - HW a licencie'!$G$3:$G$102,'TCO TO BE- SW'!$D12,'Rozpočet - HW a licencie'!$D$3:$D$102,$B$6),)</f>
        <v>0</v>
      </c>
      <c r="X12" s="565">
        <f>IFERROR(SUMIFS('Rozpočet - HW a licencie'!$I$3:$I$102,'Rozpočet - HW a licencie'!$A$3:$A$102,'TCO TO BE- SW'!X$2,'Rozpočet - HW a licencie'!$C$3:$C$102,"SW",'Rozpočet - HW a licencie'!$G$3:$G$102,'TCO TO BE- SW'!$D12,'Rozpočet - HW a licencie'!$D$3:$D$102,$B$6),)</f>
        <v>0</v>
      </c>
      <c r="Y12" s="565">
        <f>IFERROR(SUMIFS('Rozpočet - HW a licencie'!$I$3:$I$102,'Rozpočet - HW a licencie'!$A$3:$A$102,'TCO TO BE- SW'!Y$2,'Rozpočet - HW a licencie'!$C$3:$C$102,"SW",'Rozpočet - HW a licencie'!$G$3:$G$102,'TCO TO BE- SW'!$D12,'Rozpočet - HW a licencie'!$D$3:$D$102,$B$6),)</f>
        <v>0</v>
      </c>
      <c r="Z12" s="565">
        <f>IFERROR(SUMIFS('Rozpočet - HW a licencie'!$I$3:$I$102,'Rozpočet - HW a licencie'!$A$3:$A$102,'TCO TO BE- SW'!Z$2,'Rozpočet - HW a licencie'!$C$3:$C$102,"SW",'Rozpočet - HW a licencie'!$G$3:$G$102,'TCO TO BE- SW'!$D12,'Rozpočet - HW a licencie'!$D$3:$D$102,$B$6),)</f>
        <v>0</v>
      </c>
    </row>
    <row r="13" spans="1:26" outlineLevel="2">
      <c r="A13" s="807"/>
      <c r="B13" s="808"/>
      <c r="C13" s="808"/>
      <c r="D13" s="64">
        <v>8</v>
      </c>
      <c r="E13" s="61">
        <f t="shared" si="4"/>
        <v>0</v>
      </c>
      <c r="F13" s="565">
        <f>IFERROR(SUMIFS('Rozpočet - HW a licencie'!$I$3:$I$102,'Rozpočet - HW a licencie'!$A$3:$A$102,'TCO TO BE- SW'!F$2,'Rozpočet - HW a licencie'!$C$3:$C$102,"SW",'Rozpočet - HW a licencie'!$G$3:$G$102,'TCO TO BE- SW'!$D13,'Rozpočet - HW a licencie'!$D$3:$D$102,$B$6),)</f>
        <v>0</v>
      </c>
      <c r="G13" s="565">
        <f>IFERROR(SUMIFS('Rozpočet - HW a licencie'!$I$3:$I$102,'Rozpočet - HW a licencie'!$A$3:$A$102,'TCO TO BE- SW'!G$2,'Rozpočet - HW a licencie'!$C$3:$C$102,"SW",'Rozpočet - HW a licencie'!$G$3:$G$102,'TCO TO BE- SW'!$D13,'Rozpočet - HW a licencie'!$D$3:$D$102,$B$6),)</f>
        <v>0</v>
      </c>
      <c r="H13" s="565">
        <f>IFERROR(SUMIFS('Rozpočet - HW a licencie'!$I$3:$I$102,'Rozpočet - HW a licencie'!$A$3:$A$102,'TCO TO BE- SW'!H$2,'Rozpočet - HW a licencie'!$C$3:$C$102,"SW",'Rozpočet - HW a licencie'!$G$3:$G$102,'TCO TO BE- SW'!$D13,'Rozpočet - HW a licencie'!$D$3:$D$102,$B$6),)</f>
        <v>0</v>
      </c>
      <c r="I13" s="565">
        <f>IFERROR(SUMIFS('Rozpočet - HW a licencie'!$I$3:$I$102,'Rozpočet - HW a licencie'!$A$3:$A$102,'TCO TO BE- SW'!I$2,'Rozpočet - HW a licencie'!$C$3:$C$102,"SW",'Rozpočet - HW a licencie'!$G$3:$G$102,'TCO TO BE- SW'!$D13,'Rozpočet - HW a licencie'!$D$3:$D$102,$B$6),)</f>
        <v>0</v>
      </c>
      <c r="J13" s="565">
        <f>IFERROR(SUMIFS('Rozpočet - HW a licencie'!$I$3:$I$102,'Rozpočet - HW a licencie'!$A$3:$A$102,'TCO TO BE- SW'!J$2,'Rozpočet - HW a licencie'!$C$3:$C$102,"SW",'Rozpočet - HW a licencie'!$G$3:$G$102,'TCO TO BE- SW'!$D13,'Rozpočet - HW a licencie'!$D$3:$D$102,$B$6),)</f>
        <v>0</v>
      </c>
      <c r="K13" s="565">
        <f>IFERROR(SUMIFS('Rozpočet - HW a licencie'!$I$3:$I$102,'Rozpočet - HW a licencie'!$A$3:$A$102,'TCO TO BE- SW'!K$2,'Rozpočet - HW a licencie'!$C$3:$C$102,"SW",'Rozpočet - HW a licencie'!$G$3:$G$102,'TCO TO BE- SW'!$D13,'Rozpočet - HW a licencie'!$D$3:$D$102,$B$6),)</f>
        <v>0</v>
      </c>
      <c r="L13" s="565">
        <f>IFERROR(SUMIFS('Rozpočet - HW a licencie'!$I$3:$I$102,'Rozpočet - HW a licencie'!$A$3:$A$102,'TCO TO BE- SW'!L$2,'Rozpočet - HW a licencie'!$C$3:$C$102,"SW",'Rozpočet - HW a licencie'!$G$3:$G$102,'TCO TO BE- SW'!$D13,'Rozpočet - HW a licencie'!$D$3:$D$102,$B$6),)</f>
        <v>0</v>
      </c>
      <c r="M13" s="565">
        <f>IFERROR(SUMIFS('Rozpočet - HW a licencie'!$I$3:$I$102,'Rozpočet - HW a licencie'!$A$3:$A$102,'TCO TO BE- SW'!M$2,'Rozpočet - HW a licencie'!$C$3:$C$102,"SW",'Rozpočet - HW a licencie'!$G$3:$G$102,'TCO TO BE- SW'!$D13,'Rozpočet - HW a licencie'!$D$3:$D$102,$B$6),)</f>
        <v>0</v>
      </c>
      <c r="N13" s="565">
        <f>IFERROR(SUMIFS('Rozpočet - HW a licencie'!$I$3:$I$102,'Rozpočet - HW a licencie'!$A$3:$A$102,'TCO TO BE- SW'!N$2,'Rozpočet - HW a licencie'!$C$3:$C$102,"SW",'Rozpočet - HW a licencie'!$G$3:$G$102,'TCO TO BE- SW'!$D13,'Rozpočet - HW a licencie'!$D$3:$D$102,$B$6),)</f>
        <v>0</v>
      </c>
      <c r="O13" s="565">
        <f>IFERROR(SUMIFS('Rozpočet - HW a licencie'!$I$3:$I$102,'Rozpočet - HW a licencie'!$A$3:$A$102,'TCO TO BE- SW'!O$2,'Rozpočet - HW a licencie'!$C$3:$C$102,"SW",'Rozpočet - HW a licencie'!$G$3:$G$102,'TCO TO BE- SW'!$D13,'Rozpočet - HW a licencie'!$D$3:$D$102,$B$6),)</f>
        <v>0</v>
      </c>
      <c r="P13" s="565">
        <f>IFERROR(SUMIFS('Rozpočet - HW a licencie'!$I$3:$I$102,'Rozpočet - HW a licencie'!$A$3:$A$102,'TCO TO BE- SW'!P$2,'Rozpočet - HW a licencie'!$C$3:$C$102,"SW",'Rozpočet - HW a licencie'!$G$3:$G$102,'TCO TO BE- SW'!$D13,'Rozpočet - HW a licencie'!$D$3:$D$102,$B$6),)</f>
        <v>0</v>
      </c>
      <c r="Q13" s="565">
        <f>IFERROR(SUMIFS('Rozpočet - HW a licencie'!$I$3:$I$102,'Rozpočet - HW a licencie'!$A$3:$A$102,'TCO TO BE- SW'!Q$2,'Rozpočet - HW a licencie'!$C$3:$C$102,"SW",'Rozpočet - HW a licencie'!$G$3:$G$102,'TCO TO BE- SW'!$D13,'Rozpočet - HW a licencie'!$D$3:$D$102,$B$6),)</f>
        <v>0</v>
      </c>
      <c r="R13" s="565">
        <f>IFERROR(SUMIFS('Rozpočet - HW a licencie'!$I$3:$I$102,'Rozpočet - HW a licencie'!$A$3:$A$102,'TCO TO BE- SW'!R$2,'Rozpočet - HW a licencie'!$C$3:$C$102,"SW",'Rozpočet - HW a licencie'!$G$3:$G$102,'TCO TO BE- SW'!$D13,'Rozpočet - HW a licencie'!$D$3:$D$102,$B$6),)</f>
        <v>0</v>
      </c>
      <c r="S13" s="565">
        <f>IFERROR(SUMIFS('Rozpočet - HW a licencie'!$I$3:$I$102,'Rozpočet - HW a licencie'!$A$3:$A$102,'TCO TO BE- SW'!S$2,'Rozpočet - HW a licencie'!$C$3:$C$102,"SW",'Rozpočet - HW a licencie'!$G$3:$G$102,'TCO TO BE- SW'!$D13,'Rozpočet - HW a licencie'!$D$3:$D$102,$B$6),)</f>
        <v>0</v>
      </c>
      <c r="T13" s="565">
        <f>IFERROR(SUMIFS('Rozpočet - HW a licencie'!$I$3:$I$102,'Rozpočet - HW a licencie'!$A$3:$A$102,'TCO TO BE- SW'!T$2,'Rozpočet - HW a licencie'!$C$3:$C$102,"SW",'Rozpočet - HW a licencie'!$G$3:$G$102,'TCO TO BE- SW'!$D13,'Rozpočet - HW a licencie'!$D$3:$D$102,$B$6),)</f>
        <v>0</v>
      </c>
      <c r="U13" s="565">
        <f>IFERROR(SUMIFS('Rozpočet - HW a licencie'!$I$3:$I$102,'Rozpočet - HW a licencie'!$A$3:$A$102,'TCO TO BE- SW'!U$2,'Rozpočet - HW a licencie'!$C$3:$C$102,"SW",'Rozpočet - HW a licencie'!$G$3:$G$102,'TCO TO BE- SW'!$D13,'Rozpočet - HW a licencie'!$D$3:$D$102,$B$6),)</f>
        <v>0</v>
      </c>
      <c r="V13" s="565">
        <f>IFERROR(SUMIFS('Rozpočet - HW a licencie'!$I$3:$I$102,'Rozpočet - HW a licencie'!$A$3:$A$102,'TCO TO BE- SW'!V$2,'Rozpočet - HW a licencie'!$C$3:$C$102,"SW",'Rozpočet - HW a licencie'!$G$3:$G$102,'TCO TO BE- SW'!$D13,'Rozpočet - HW a licencie'!$D$3:$D$102,$B$6),)</f>
        <v>0</v>
      </c>
      <c r="W13" s="565">
        <f>IFERROR(SUMIFS('Rozpočet - HW a licencie'!$I$3:$I$102,'Rozpočet - HW a licencie'!$A$3:$A$102,'TCO TO BE- SW'!W$2,'Rozpočet - HW a licencie'!$C$3:$C$102,"SW",'Rozpočet - HW a licencie'!$G$3:$G$102,'TCO TO BE- SW'!$D13,'Rozpočet - HW a licencie'!$D$3:$D$102,$B$6),)</f>
        <v>0</v>
      </c>
      <c r="X13" s="565">
        <f>IFERROR(SUMIFS('Rozpočet - HW a licencie'!$I$3:$I$102,'Rozpočet - HW a licencie'!$A$3:$A$102,'TCO TO BE- SW'!X$2,'Rozpočet - HW a licencie'!$C$3:$C$102,"SW",'Rozpočet - HW a licencie'!$G$3:$G$102,'TCO TO BE- SW'!$D13,'Rozpočet - HW a licencie'!$D$3:$D$102,$B$6),)</f>
        <v>0</v>
      </c>
      <c r="Y13" s="565">
        <f>IFERROR(SUMIFS('Rozpočet - HW a licencie'!$I$3:$I$102,'Rozpočet - HW a licencie'!$A$3:$A$102,'TCO TO BE- SW'!Y$2,'Rozpočet - HW a licencie'!$C$3:$C$102,"SW",'Rozpočet - HW a licencie'!$G$3:$G$102,'TCO TO BE- SW'!$D13,'Rozpočet - HW a licencie'!$D$3:$D$102,$B$6),)</f>
        <v>0</v>
      </c>
      <c r="Z13" s="565">
        <f>IFERROR(SUMIFS('Rozpočet - HW a licencie'!$I$3:$I$102,'Rozpočet - HW a licencie'!$A$3:$A$102,'TCO TO BE- SW'!Z$2,'Rozpočet - HW a licencie'!$C$3:$C$102,"SW",'Rozpočet - HW a licencie'!$G$3:$G$102,'TCO TO BE- SW'!$D13,'Rozpočet - HW a licencie'!$D$3:$D$102,$B$6),)</f>
        <v>0</v>
      </c>
    </row>
    <row r="14" spans="1:26" outlineLevel="2">
      <c r="A14" s="807"/>
      <c r="B14" s="808"/>
      <c r="C14" s="808"/>
      <c r="D14" s="64">
        <v>9</v>
      </c>
      <c r="E14" s="61">
        <f t="shared" si="4"/>
        <v>0</v>
      </c>
      <c r="F14" s="565">
        <f>IFERROR(SUMIFS('Rozpočet - HW a licencie'!$I$3:$I$102,'Rozpočet - HW a licencie'!$A$3:$A$102,'TCO TO BE- SW'!F$2,'Rozpočet - HW a licencie'!$C$3:$C$102,"SW",'Rozpočet - HW a licencie'!$G$3:$G$102,'TCO TO BE- SW'!$D14,'Rozpočet - HW a licencie'!$D$3:$D$102,$B$6),)</f>
        <v>0</v>
      </c>
      <c r="G14" s="565">
        <f>IFERROR(SUMIFS('Rozpočet - HW a licencie'!$I$3:$I$102,'Rozpočet - HW a licencie'!$A$3:$A$102,'TCO TO BE- SW'!G$2,'Rozpočet - HW a licencie'!$C$3:$C$102,"SW",'Rozpočet - HW a licencie'!$G$3:$G$102,'TCO TO BE- SW'!$D14,'Rozpočet - HW a licencie'!$D$3:$D$102,$B$6),)</f>
        <v>0</v>
      </c>
      <c r="H14" s="565">
        <f>IFERROR(SUMIFS('Rozpočet - HW a licencie'!$I$3:$I$102,'Rozpočet - HW a licencie'!$A$3:$A$102,'TCO TO BE- SW'!H$2,'Rozpočet - HW a licencie'!$C$3:$C$102,"SW",'Rozpočet - HW a licencie'!$G$3:$G$102,'TCO TO BE- SW'!$D14,'Rozpočet - HW a licencie'!$D$3:$D$102,$B$6),)</f>
        <v>0</v>
      </c>
      <c r="I14" s="565">
        <f>IFERROR(SUMIFS('Rozpočet - HW a licencie'!$I$3:$I$102,'Rozpočet - HW a licencie'!$A$3:$A$102,'TCO TO BE- SW'!I$2,'Rozpočet - HW a licencie'!$C$3:$C$102,"SW",'Rozpočet - HW a licencie'!$G$3:$G$102,'TCO TO BE- SW'!$D14,'Rozpočet - HW a licencie'!$D$3:$D$102,$B$6),)</f>
        <v>0</v>
      </c>
      <c r="J14" s="565">
        <f>IFERROR(SUMIFS('Rozpočet - HW a licencie'!$I$3:$I$102,'Rozpočet - HW a licencie'!$A$3:$A$102,'TCO TO BE- SW'!J$2,'Rozpočet - HW a licencie'!$C$3:$C$102,"SW",'Rozpočet - HW a licencie'!$G$3:$G$102,'TCO TO BE- SW'!$D14,'Rozpočet - HW a licencie'!$D$3:$D$102,$B$6),)</f>
        <v>0</v>
      </c>
      <c r="K14" s="565">
        <f>IFERROR(SUMIFS('Rozpočet - HW a licencie'!$I$3:$I$102,'Rozpočet - HW a licencie'!$A$3:$A$102,'TCO TO BE- SW'!K$2,'Rozpočet - HW a licencie'!$C$3:$C$102,"SW",'Rozpočet - HW a licencie'!$G$3:$G$102,'TCO TO BE- SW'!$D14,'Rozpočet - HW a licencie'!$D$3:$D$102,$B$6),)</f>
        <v>0</v>
      </c>
      <c r="L14" s="565">
        <f>IFERROR(SUMIFS('Rozpočet - HW a licencie'!$I$3:$I$102,'Rozpočet - HW a licencie'!$A$3:$A$102,'TCO TO BE- SW'!L$2,'Rozpočet - HW a licencie'!$C$3:$C$102,"SW",'Rozpočet - HW a licencie'!$G$3:$G$102,'TCO TO BE- SW'!$D14,'Rozpočet - HW a licencie'!$D$3:$D$102,$B$6),)</f>
        <v>0</v>
      </c>
      <c r="M14" s="565">
        <f>IFERROR(SUMIFS('Rozpočet - HW a licencie'!$I$3:$I$102,'Rozpočet - HW a licencie'!$A$3:$A$102,'TCO TO BE- SW'!M$2,'Rozpočet - HW a licencie'!$C$3:$C$102,"SW",'Rozpočet - HW a licencie'!$G$3:$G$102,'TCO TO BE- SW'!$D14,'Rozpočet - HW a licencie'!$D$3:$D$102,$B$6),)</f>
        <v>0</v>
      </c>
      <c r="N14" s="565">
        <f>IFERROR(SUMIFS('Rozpočet - HW a licencie'!$I$3:$I$102,'Rozpočet - HW a licencie'!$A$3:$A$102,'TCO TO BE- SW'!N$2,'Rozpočet - HW a licencie'!$C$3:$C$102,"SW",'Rozpočet - HW a licencie'!$G$3:$G$102,'TCO TO BE- SW'!$D14,'Rozpočet - HW a licencie'!$D$3:$D$102,$B$6),)</f>
        <v>0</v>
      </c>
      <c r="O14" s="565">
        <f>IFERROR(SUMIFS('Rozpočet - HW a licencie'!$I$3:$I$102,'Rozpočet - HW a licencie'!$A$3:$A$102,'TCO TO BE- SW'!O$2,'Rozpočet - HW a licencie'!$C$3:$C$102,"SW",'Rozpočet - HW a licencie'!$G$3:$G$102,'TCO TO BE- SW'!$D14,'Rozpočet - HW a licencie'!$D$3:$D$102,$B$6),)</f>
        <v>0</v>
      </c>
      <c r="P14" s="565">
        <f>IFERROR(SUMIFS('Rozpočet - HW a licencie'!$I$3:$I$102,'Rozpočet - HW a licencie'!$A$3:$A$102,'TCO TO BE- SW'!P$2,'Rozpočet - HW a licencie'!$C$3:$C$102,"SW",'Rozpočet - HW a licencie'!$G$3:$G$102,'TCO TO BE- SW'!$D14,'Rozpočet - HW a licencie'!$D$3:$D$102,$B$6),)</f>
        <v>0</v>
      </c>
      <c r="Q14" s="565">
        <f>IFERROR(SUMIFS('Rozpočet - HW a licencie'!$I$3:$I$102,'Rozpočet - HW a licencie'!$A$3:$A$102,'TCO TO BE- SW'!Q$2,'Rozpočet - HW a licencie'!$C$3:$C$102,"SW",'Rozpočet - HW a licencie'!$G$3:$G$102,'TCO TO BE- SW'!$D14,'Rozpočet - HW a licencie'!$D$3:$D$102,$B$6),)</f>
        <v>0</v>
      </c>
      <c r="R14" s="565">
        <f>IFERROR(SUMIFS('Rozpočet - HW a licencie'!$I$3:$I$102,'Rozpočet - HW a licencie'!$A$3:$A$102,'TCO TO BE- SW'!R$2,'Rozpočet - HW a licencie'!$C$3:$C$102,"SW",'Rozpočet - HW a licencie'!$G$3:$G$102,'TCO TO BE- SW'!$D14,'Rozpočet - HW a licencie'!$D$3:$D$102,$B$6),)</f>
        <v>0</v>
      </c>
      <c r="S14" s="565">
        <f>IFERROR(SUMIFS('Rozpočet - HW a licencie'!$I$3:$I$102,'Rozpočet - HW a licencie'!$A$3:$A$102,'TCO TO BE- SW'!S$2,'Rozpočet - HW a licencie'!$C$3:$C$102,"SW",'Rozpočet - HW a licencie'!$G$3:$G$102,'TCO TO BE- SW'!$D14,'Rozpočet - HW a licencie'!$D$3:$D$102,$B$6),)</f>
        <v>0</v>
      </c>
      <c r="T14" s="565">
        <f>IFERROR(SUMIFS('Rozpočet - HW a licencie'!$I$3:$I$102,'Rozpočet - HW a licencie'!$A$3:$A$102,'TCO TO BE- SW'!T$2,'Rozpočet - HW a licencie'!$C$3:$C$102,"SW",'Rozpočet - HW a licencie'!$G$3:$G$102,'TCO TO BE- SW'!$D14,'Rozpočet - HW a licencie'!$D$3:$D$102,$B$6),)</f>
        <v>0</v>
      </c>
      <c r="U14" s="565">
        <f>IFERROR(SUMIFS('Rozpočet - HW a licencie'!$I$3:$I$102,'Rozpočet - HW a licencie'!$A$3:$A$102,'TCO TO BE- SW'!U$2,'Rozpočet - HW a licencie'!$C$3:$C$102,"SW",'Rozpočet - HW a licencie'!$G$3:$G$102,'TCO TO BE- SW'!$D14,'Rozpočet - HW a licencie'!$D$3:$D$102,$B$6),)</f>
        <v>0</v>
      </c>
      <c r="V14" s="565">
        <f>IFERROR(SUMIFS('Rozpočet - HW a licencie'!$I$3:$I$102,'Rozpočet - HW a licencie'!$A$3:$A$102,'TCO TO BE- SW'!V$2,'Rozpočet - HW a licencie'!$C$3:$C$102,"SW",'Rozpočet - HW a licencie'!$G$3:$G$102,'TCO TO BE- SW'!$D14,'Rozpočet - HW a licencie'!$D$3:$D$102,$B$6),)</f>
        <v>0</v>
      </c>
      <c r="W14" s="565">
        <f>IFERROR(SUMIFS('Rozpočet - HW a licencie'!$I$3:$I$102,'Rozpočet - HW a licencie'!$A$3:$A$102,'TCO TO BE- SW'!W$2,'Rozpočet - HW a licencie'!$C$3:$C$102,"SW",'Rozpočet - HW a licencie'!$G$3:$G$102,'TCO TO BE- SW'!$D14,'Rozpočet - HW a licencie'!$D$3:$D$102,$B$6),)</f>
        <v>0</v>
      </c>
      <c r="X14" s="565">
        <f>IFERROR(SUMIFS('Rozpočet - HW a licencie'!$I$3:$I$102,'Rozpočet - HW a licencie'!$A$3:$A$102,'TCO TO BE- SW'!X$2,'Rozpočet - HW a licencie'!$C$3:$C$102,"SW",'Rozpočet - HW a licencie'!$G$3:$G$102,'TCO TO BE- SW'!$D14,'Rozpočet - HW a licencie'!$D$3:$D$102,$B$6),)</f>
        <v>0</v>
      </c>
      <c r="Y14" s="565">
        <f>IFERROR(SUMIFS('Rozpočet - HW a licencie'!$I$3:$I$102,'Rozpočet - HW a licencie'!$A$3:$A$102,'TCO TO BE- SW'!Y$2,'Rozpočet - HW a licencie'!$C$3:$C$102,"SW",'Rozpočet - HW a licencie'!$G$3:$G$102,'TCO TO BE- SW'!$D14,'Rozpočet - HW a licencie'!$D$3:$D$102,$B$6),)</f>
        <v>0</v>
      </c>
      <c r="Z14" s="565">
        <f>IFERROR(SUMIFS('Rozpočet - HW a licencie'!$I$3:$I$102,'Rozpočet - HW a licencie'!$A$3:$A$102,'TCO TO BE- SW'!Z$2,'Rozpočet - HW a licencie'!$C$3:$C$102,"SW",'Rozpočet - HW a licencie'!$G$3:$G$102,'TCO TO BE- SW'!$D14,'Rozpočet - HW a licencie'!$D$3:$D$102,$B$6),)</f>
        <v>0</v>
      </c>
    </row>
    <row r="15" spans="1:26" ht="15.75" outlineLevel="2" thickBot="1">
      <c r="A15" s="807"/>
      <c r="B15" s="808"/>
      <c r="C15" s="808"/>
      <c r="D15" s="65">
        <v>10</v>
      </c>
      <c r="E15" s="61">
        <f t="shared" si="4"/>
        <v>0</v>
      </c>
      <c r="F15" s="566">
        <f>IFERROR(SUMIFS('Rozpočet - HW a licencie'!$I$3:$I$102,'Rozpočet - HW a licencie'!$A$3:$A$102,'TCO TO BE- SW'!F$2,'Rozpočet - HW a licencie'!$C$3:$C$102,"SW",'Rozpočet - HW a licencie'!$G$3:$G$102,'TCO TO BE- SW'!$D15,'Rozpočet - HW a licencie'!$D$3:$D$102,$B$6),)</f>
        <v>0</v>
      </c>
      <c r="G15" s="566">
        <f>IFERROR(SUMIFS('Rozpočet - HW a licencie'!$I$3:$I$102,'Rozpočet - HW a licencie'!$A$3:$A$102,'TCO TO BE- SW'!G$2,'Rozpočet - HW a licencie'!$C$3:$C$102,"SW",'Rozpočet - HW a licencie'!$G$3:$G$102,'TCO TO BE- SW'!$D15,'Rozpočet - HW a licencie'!$D$3:$D$102,$B$6),)</f>
        <v>0</v>
      </c>
      <c r="H15" s="566">
        <f>IFERROR(SUMIFS('Rozpočet - HW a licencie'!$I$3:$I$102,'Rozpočet - HW a licencie'!$A$3:$A$102,'TCO TO BE- SW'!H$2,'Rozpočet - HW a licencie'!$C$3:$C$102,"SW",'Rozpočet - HW a licencie'!$G$3:$G$102,'TCO TO BE- SW'!$D15,'Rozpočet - HW a licencie'!$D$3:$D$102,$B$6),)</f>
        <v>0</v>
      </c>
      <c r="I15" s="566">
        <f>IFERROR(SUMIFS('Rozpočet - HW a licencie'!$I$3:$I$102,'Rozpočet - HW a licencie'!$A$3:$A$102,'TCO TO BE- SW'!I$2,'Rozpočet - HW a licencie'!$C$3:$C$102,"SW",'Rozpočet - HW a licencie'!$G$3:$G$102,'TCO TO BE- SW'!$D15,'Rozpočet - HW a licencie'!$D$3:$D$102,$B$6),)</f>
        <v>0</v>
      </c>
      <c r="J15" s="566">
        <f>IFERROR(SUMIFS('Rozpočet - HW a licencie'!$I$3:$I$102,'Rozpočet - HW a licencie'!$A$3:$A$102,'TCO TO BE- SW'!J$2,'Rozpočet - HW a licencie'!$C$3:$C$102,"SW",'Rozpočet - HW a licencie'!$G$3:$G$102,'TCO TO BE- SW'!$D15,'Rozpočet - HW a licencie'!$D$3:$D$102,$B$6),)</f>
        <v>0</v>
      </c>
      <c r="K15" s="566">
        <f>IFERROR(SUMIFS('Rozpočet - HW a licencie'!$I$3:$I$102,'Rozpočet - HW a licencie'!$A$3:$A$102,'TCO TO BE- SW'!K$2,'Rozpočet - HW a licencie'!$C$3:$C$102,"SW",'Rozpočet - HW a licencie'!$G$3:$G$102,'TCO TO BE- SW'!$D15,'Rozpočet - HW a licencie'!$D$3:$D$102,$B$6),)</f>
        <v>0</v>
      </c>
      <c r="L15" s="566">
        <f>IFERROR(SUMIFS('Rozpočet - HW a licencie'!$I$3:$I$102,'Rozpočet - HW a licencie'!$A$3:$A$102,'TCO TO BE- SW'!L$2,'Rozpočet - HW a licencie'!$C$3:$C$102,"SW",'Rozpočet - HW a licencie'!$G$3:$G$102,'TCO TO BE- SW'!$D15,'Rozpočet - HW a licencie'!$D$3:$D$102,$B$6),)</f>
        <v>0</v>
      </c>
      <c r="M15" s="566">
        <f>IFERROR(SUMIFS('Rozpočet - HW a licencie'!$I$3:$I$102,'Rozpočet - HW a licencie'!$A$3:$A$102,'TCO TO BE- SW'!M$2,'Rozpočet - HW a licencie'!$C$3:$C$102,"SW",'Rozpočet - HW a licencie'!$G$3:$G$102,'TCO TO BE- SW'!$D15,'Rozpočet - HW a licencie'!$D$3:$D$102,$B$6),)</f>
        <v>0</v>
      </c>
      <c r="N15" s="566">
        <f>IFERROR(SUMIFS('Rozpočet - HW a licencie'!$I$3:$I$102,'Rozpočet - HW a licencie'!$A$3:$A$102,'TCO TO BE- SW'!N$2,'Rozpočet - HW a licencie'!$C$3:$C$102,"SW",'Rozpočet - HW a licencie'!$G$3:$G$102,'TCO TO BE- SW'!$D15,'Rozpočet - HW a licencie'!$D$3:$D$102,$B$6),)</f>
        <v>0</v>
      </c>
      <c r="O15" s="566">
        <f>IFERROR(SUMIFS('Rozpočet - HW a licencie'!$I$3:$I$102,'Rozpočet - HW a licencie'!$A$3:$A$102,'TCO TO BE- SW'!O$2,'Rozpočet - HW a licencie'!$C$3:$C$102,"SW",'Rozpočet - HW a licencie'!$G$3:$G$102,'TCO TO BE- SW'!$D15,'Rozpočet - HW a licencie'!$D$3:$D$102,$B$6),)</f>
        <v>0</v>
      </c>
      <c r="P15" s="566">
        <f>IFERROR(SUMIFS('Rozpočet - HW a licencie'!$I$3:$I$102,'Rozpočet - HW a licencie'!$A$3:$A$102,'TCO TO BE- SW'!P$2,'Rozpočet - HW a licencie'!$C$3:$C$102,"SW",'Rozpočet - HW a licencie'!$G$3:$G$102,'TCO TO BE- SW'!$D15,'Rozpočet - HW a licencie'!$D$3:$D$102,$B$6),)</f>
        <v>0</v>
      </c>
      <c r="Q15" s="566">
        <f>IFERROR(SUMIFS('Rozpočet - HW a licencie'!$I$3:$I$102,'Rozpočet - HW a licencie'!$A$3:$A$102,'TCO TO BE- SW'!Q$2,'Rozpočet - HW a licencie'!$C$3:$C$102,"SW",'Rozpočet - HW a licencie'!$G$3:$G$102,'TCO TO BE- SW'!$D15,'Rozpočet - HW a licencie'!$D$3:$D$102,$B$6),)</f>
        <v>0</v>
      </c>
      <c r="R15" s="566">
        <f>IFERROR(SUMIFS('Rozpočet - HW a licencie'!$I$3:$I$102,'Rozpočet - HW a licencie'!$A$3:$A$102,'TCO TO BE- SW'!R$2,'Rozpočet - HW a licencie'!$C$3:$C$102,"SW",'Rozpočet - HW a licencie'!$G$3:$G$102,'TCO TO BE- SW'!$D15,'Rozpočet - HW a licencie'!$D$3:$D$102,$B$6),)</f>
        <v>0</v>
      </c>
      <c r="S15" s="566">
        <f>IFERROR(SUMIFS('Rozpočet - HW a licencie'!$I$3:$I$102,'Rozpočet - HW a licencie'!$A$3:$A$102,'TCO TO BE- SW'!S$2,'Rozpočet - HW a licencie'!$C$3:$C$102,"SW",'Rozpočet - HW a licencie'!$G$3:$G$102,'TCO TO BE- SW'!$D15,'Rozpočet - HW a licencie'!$D$3:$D$102,$B$6),)</f>
        <v>0</v>
      </c>
      <c r="T15" s="566">
        <f>IFERROR(SUMIFS('Rozpočet - HW a licencie'!$I$3:$I$102,'Rozpočet - HW a licencie'!$A$3:$A$102,'TCO TO BE- SW'!T$2,'Rozpočet - HW a licencie'!$C$3:$C$102,"SW",'Rozpočet - HW a licencie'!$G$3:$G$102,'TCO TO BE- SW'!$D15,'Rozpočet - HW a licencie'!$D$3:$D$102,$B$6),)</f>
        <v>0</v>
      </c>
      <c r="U15" s="566">
        <f>IFERROR(SUMIFS('Rozpočet - HW a licencie'!$I$3:$I$102,'Rozpočet - HW a licencie'!$A$3:$A$102,'TCO TO BE- SW'!U$2,'Rozpočet - HW a licencie'!$C$3:$C$102,"SW",'Rozpočet - HW a licencie'!$G$3:$G$102,'TCO TO BE- SW'!$D15,'Rozpočet - HW a licencie'!$D$3:$D$102,$B$6),)</f>
        <v>0</v>
      </c>
      <c r="V15" s="566">
        <f>IFERROR(SUMIFS('Rozpočet - HW a licencie'!$I$3:$I$102,'Rozpočet - HW a licencie'!$A$3:$A$102,'TCO TO BE- SW'!V$2,'Rozpočet - HW a licencie'!$C$3:$C$102,"SW",'Rozpočet - HW a licencie'!$G$3:$G$102,'TCO TO BE- SW'!$D15,'Rozpočet - HW a licencie'!$D$3:$D$102,$B$6),)</f>
        <v>0</v>
      </c>
      <c r="W15" s="566">
        <f>IFERROR(SUMIFS('Rozpočet - HW a licencie'!$I$3:$I$102,'Rozpočet - HW a licencie'!$A$3:$A$102,'TCO TO BE- SW'!W$2,'Rozpočet - HW a licencie'!$C$3:$C$102,"SW",'Rozpočet - HW a licencie'!$G$3:$G$102,'TCO TO BE- SW'!$D15,'Rozpočet - HW a licencie'!$D$3:$D$102,$B$6),)</f>
        <v>0</v>
      </c>
      <c r="X15" s="566">
        <f>IFERROR(SUMIFS('Rozpočet - HW a licencie'!$I$3:$I$102,'Rozpočet - HW a licencie'!$A$3:$A$102,'TCO TO BE- SW'!X$2,'Rozpočet - HW a licencie'!$C$3:$C$102,"SW",'Rozpočet - HW a licencie'!$G$3:$G$102,'TCO TO BE- SW'!$D15,'Rozpočet - HW a licencie'!$D$3:$D$102,$B$6),)</f>
        <v>0</v>
      </c>
      <c r="Y15" s="566">
        <f>IFERROR(SUMIFS('Rozpočet - HW a licencie'!$I$3:$I$102,'Rozpočet - HW a licencie'!$A$3:$A$102,'TCO TO BE- SW'!Y$2,'Rozpočet - HW a licencie'!$C$3:$C$102,"SW",'Rozpočet - HW a licencie'!$G$3:$G$102,'TCO TO BE- SW'!$D15,'Rozpočet - HW a licencie'!$D$3:$D$102,$B$6),)</f>
        <v>0</v>
      </c>
      <c r="Z15" s="566">
        <f>IFERROR(SUMIFS('Rozpočet - HW a licencie'!$I$3:$I$102,'Rozpočet - HW a licencie'!$A$3:$A$102,'TCO TO BE- SW'!Z$2,'Rozpočet - HW a licencie'!$C$3:$C$102,"SW",'Rozpočet - HW a licencie'!$G$3:$G$102,'TCO TO BE- SW'!$D15,'Rozpočet - HW a licencie'!$D$3:$D$102,$B$6),)</f>
        <v>0</v>
      </c>
    </row>
    <row r="16" spans="1:26" outlineLevel="2">
      <c r="A16" s="807" t="s">
        <v>303</v>
      </c>
      <c r="B16" s="808" t="s">
        <v>528</v>
      </c>
      <c r="C16" s="808">
        <v>610</v>
      </c>
      <c r="D16" s="63">
        <v>1</v>
      </c>
      <c r="E16" s="60">
        <f t="shared" si="4"/>
        <v>0</v>
      </c>
      <c r="F16" s="567">
        <v>0</v>
      </c>
      <c r="G16" s="567">
        <v>0</v>
      </c>
      <c r="H16" s="567">
        <v>0</v>
      </c>
      <c r="I16" s="567">
        <v>0</v>
      </c>
      <c r="J16" s="567">
        <v>0</v>
      </c>
      <c r="K16" s="567">
        <v>0</v>
      </c>
      <c r="L16" s="567">
        <v>0</v>
      </c>
      <c r="M16" s="567">
        <v>0</v>
      </c>
      <c r="N16" s="567">
        <v>0</v>
      </c>
      <c r="O16" s="567">
        <v>0</v>
      </c>
      <c r="P16" s="567">
        <v>0</v>
      </c>
      <c r="Q16" s="567">
        <v>0</v>
      </c>
      <c r="R16" s="567">
        <v>0</v>
      </c>
      <c r="S16" s="567">
        <v>0</v>
      </c>
      <c r="T16" s="567">
        <v>0</v>
      </c>
      <c r="U16" s="567">
        <v>0</v>
      </c>
      <c r="V16" s="567">
        <v>0</v>
      </c>
      <c r="W16" s="567">
        <v>0</v>
      </c>
      <c r="X16" s="567">
        <v>0</v>
      </c>
      <c r="Y16" s="567">
        <v>0</v>
      </c>
      <c r="Z16" s="567">
        <v>0</v>
      </c>
    </row>
    <row r="17" spans="1:26" outlineLevel="2">
      <c r="A17" s="807"/>
      <c r="B17" s="808"/>
      <c r="C17" s="808"/>
      <c r="D17" s="64">
        <v>2</v>
      </c>
      <c r="E17" s="61">
        <f t="shared" si="4"/>
        <v>0</v>
      </c>
      <c r="F17" s="568">
        <v>0</v>
      </c>
      <c r="G17" s="568">
        <v>0</v>
      </c>
      <c r="H17" s="568">
        <v>0</v>
      </c>
      <c r="I17" s="568">
        <v>0</v>
      </c>
      <c r="J17" s="568">
        <v>0</v>
      </c>
      <c r="K17" s="568">
        <v>0</v>
      </c>
      <c r="L17" s="568">
        <v>0</v>
      </c>
      <c r="M17" s="568">
        <v>0</v>
      </c>
      <c r="N17" s="568">
        <v>0</v>
      </c>
      <c r="O17" s="568">
        <v>0</v>
      </c>
      <c r="P17" s="568">
        <v>0</v>
      </c>
      <c r="Q17" s="568">
        <v>0</v>
      </c>
      <c r="R17" s="568">
        <v>0</v>
      </c>
      <c r="S17" s="568">
        <v>0</v>
      </c>
      <c r="T17" s="568">
        <v>0</v>
      </c>
      <c r="U17" s="568">
        <v>0</v>
      </c>
      <c r="V17" s="568">
        <v>0</v>
      </c>
      <c r="W17" s="568">
        <v>0</v>
      </c>
      <c r="X17" s="568">
        <v>0</v>
      </c>
      <c r="Y17" s="568">
        <v>0</v>
      </c>
      <c r="Z17" s="568">
        <v>0</v>
      </c>
    </row>
    <row r="18" spans="1:26" outlineLevel="2">
      <c r="A18" s="807"/>
      <c r="B18" s="808"/>
      <c r="C18" s="808"/>
      <c r="D18" s="64">
        <v>3</v>
      </c>
      <c r="E18" s="61">
        <f t="shared" si="4"/>
        <v>0</v>
      </c>
      <c r="F18" s="568">
        <v>0</v>
      </c>
      <c r="G18" s="568">
        <v>0</v>
      </c>
      <c r="H18" s="568">
        <v>0</v>
      </c>
      <c r="I18" s="568">
        <v>0</v>
      </c>
      <c r="J18" s="568">
        <v>0</v>
      </c>
      <c r="K18" s="568">
        <v>0</v>
      </c>
      <c r="L18" s="568">
        <v>0</v>
      </c>
      <c r="M18" s="568">
        <v>0</v>
      </c>
      <c r="N18" s="568">
        <v>0</v>
      </c>
      <c r="O18" s="568">
        <v>0</v>
      </c>
      <c r="P18" s="568">
        <v>0</v>
      </c>
      <c r="Q18" s="568">
        <v>0</v>
      </c>
      <c r="R18" s="568">
        <v>0</v>
      </c>
      <c r="S18" s="568">
        <v>0</v>
      </c>
      <c r="T18" s="568">
        <v>0</v>
      </c>
      <c r="U18" s="568">
        <v>0</v>
      </c>
      <c r="V18" s="568">
        <v>0</v>
      </c>
      <c r="W18" s="568">
        <v>0</v>
      </c>
      <c r="X18" s="568">
        <v>0</v>
      </c>
      <c r="Y18" s="568">
        <v>0</v>
      </c>
      <c r="Z18" s="568">
        <v>0</v>
      </c>
    </row>
    <row r="19" spans="1:26" outlineLevel="2">
      <c r="A19" s="807"/>
      <c r="B19" s="808"/>
      <c r="C19" s="808"/>
      <c r="D19" s="64">
        <v>4</v>
      </c>
      <c r="E19" s="61">
        <f t="shared" si="4"/>
        <v>0</v>
      </c>
      <c r="F19" s="568">
        <v>0</v>
      </c>
      <c r="G19" s="568">
        <v>0</v>
      </c>
      <c r="H19" s="568">
        <v>0</v>
      </c>
      <c r="I19" s="568">
        <v>0</v>
      </c>
      <c r="J19" s="568">
        <v>0</v>
      </c>
      <c r="K19" s="568">
        <v>0</v>
      </c>
      <c r="L19" s="568">
        <v>0</v>
      </c>
      <c r="M19" s="568">
        <v>0</v>
      </c>
      <c r="N19" s="568">
        <v>0</v>
      </c>
      <c r="O19" s="568">
        <v>0</v>
      </c>
      <c r="P19" s="568">
        <v>0</v>
      </c>
      <c r="Q19" s="568">
        <v>0</v>
      </c>
      <c r="R19" s="568">
        <v>0</v>
      </c>
      <c r="S19" s="568">
        <v>0</v>
      </c>
      <c r="T19" s="568">
        <v>0</v>
      </c>
      <c r="U19" s="568">
        <v>0</v>
      </c>
      <c r="V19" s="568">
        <v>0</v>
      </c>
      <c r="W19" s="568">
        <v>0</v>
      </c>
      <c r="X19" s="568">
        <v>0</v>
      </c>
      <c r="Y19" s="568">
        <v>0</v>
      </c>
      <c r="Z19" s="568">
        <v>0</v>
      </c>
    </row>
    <row r="20" spans="1:26" outlineLevel="2">
      <c r="A20" s="807"/>
      <c r="B20" s="808"/>
      <c r="C20" s="808"/>
      <c r="D20" s="64">
        <v>5</v>
      </c>
      <c r="E20" s="61">
        <f t="shared" si="4"/>
        <v>0</v>
      </c>
      <c r="F20" s="568">
        <v>0</v>
      </c>
      <c r="G20" s="568">
        <v>0</v>
      </c>
      <c r="H20" s="568">
        <v>0</v>
      </c>
      <c r="I20" s="568">
        <v>0</v>
      </c>
      <c r="J20" s="568">
        <v>0</v>
      </c>
      <c r="K20" s="568">
        <v>0</v>
      </c>
      <c r="L20" s="568">
        <v>0</v>
      </c>
      <c r="M20" s="568">
        <v>0</v>
      </c>
      <c r="N20" s="568">
        <v>0</v>
      </c>
      <c r="O20" s="568">
        <v>0</v>
      </c>
      <c r="P20" s="568">
        <v>0</v>
      </c>
      <c r="Q20" s="568">
        <v>0</v>
      </c>
      <c r="R20" s="568">
        <v>0</v>
      </c>
      <c r="S20" s="568">
        <v>0</v>
      </c>
      <c r="T20" s="568">
        <v>0</v>
      </c>
      <c r="U20" s="568">
        <v>0</v>
      </c>
      <c r="V20" s="568">
        <v>0</v>
      </c>
      <c r="W20" s="568">
        <v>0</v>
      </c>
      <c r="X20" s="568">
        <v>0</v>
      </c>
      <c r="Y20" s="568">
        <v>0</v>
      </c>
      <c r="Z20" s="568">
        <v>0</v>
      </c>
    </row>
    <row r="21" spans="1:26" outlineLevel="2">
      <c r="A21" s="807"/>
      <c r="B21" s="808"/>
      <c r="C21" s="808"/>
      <c r="D21" s="64">
        <v>6</v>
      </c>
      <c r="E21" s="61">
        <f t="shared" si="4"/>
        <v>0</v>
      </c>
      <c r="F21" s="568">
        <v>0</v>
      </c>
      <c r="G21" s="568">
        <v>0</v>
      </c>
      <c r="H21" s="568">
        <v>0</v>
      </c>
      <c r="I21" s="568">
        <v>0</v>
      </c>
      <c r="J21" s="568">
        <v>0</v>
      </c>
      <c r="K21" s="568">
        <v>0</v>
      </c>
      <c r="L21" s="568">
        <v>0</v>
      </c>
      <c r="M21" s="568">
        <v>0</v>
      </c>
      <c r="N21" s="568">
        <v>0</v>
      </c>
      <c r="O21" s="568">
        <v>0</v>
      </c>
      <c r="P21" s="568">
        <v>0</v>
      </c>
      <c r="Q21" s="568">
        <v>0</v>
      </c>
      <c r="R21" s="568">
        <v>0</v>
      </c>
      <c r="S21" s="568">
        <v>0</v>
      </c>
      <c r="T21" s="568">
        <v>0</v>
      </c>
      <c r="U21" s="568">
        <v>0</v>
      </c>
      <c r="V21" s="568">
        <v>0</v>
      </c>
      <c r="W21" s="568">
        <v>0</v>
      </c>
      <c r="X21" s="568">
        <v>0</v>
      </c>
      <c r="Y21" s="568">
        <v>0</v>
      </c>
      <c r="Z21" s="568">
        <v>0</v>
      </c>
    </row>
    <row r="22" spans="1:26" outlineLevel="2">
      <c r="A22" s="807"/>
      <c r="B22" s="808"/>
      <c r="C22" s="808"/>
      <c r="D22" s="64">
        <v>7</v>
      </c>
      <c r="E22" s="61">
        <f t="shared" si="4"/>
        <v>0</v>
      </c>
      <c r="F22" s="568">
        <v>0</v>
      </c>
      <c r="G22" s="568">
        <v>0</v>
      </c>
      <c r="H22" s="568">
        <v>0</v>
      </c>
      <c r="I22" s="568">
        <v>0</v>
      </c>
      <c r="J22" s="568">
        <v>0</v>
      </c>
      <c r="K22" s="568">
        <v>0</v>
      </c>
      <c r="L22" s="568">
        <v>0</v>
      </c>
      <c r="M22" s="568">
        <v>0</v>
      </c>
      <c r="N22" s="568">
        <v>0</v>
      </c>
      <c r="O22" s="568">
        <v>0</v>
      </c>
      <c r="P22" s="568">
        <v>0</v>
      </c>
      <c r="Q22" s="568">
        <v>0</v>
      </c>
      <c r="R22" s="568">
        <v>0</v>
      </c>
      <c r="S22" s="568">
        <v>0</v>
      </c>
      <c r="T22" s="568">
        <v>0</v>
      </c>
      <c r="U22" s="568">
        <v>0</v>
      </c>
      <c r="V22" s="568">
        <v>0</v>
      </c>
      <c r="W22" s="568">
        <v>0</v>
      </c>
      <c r="X22" s="568">
        <v>0</v>
      </c>
      <c r="Y22" s="568">
        <v>0</v>
      </c>
      <c r="Z22" s="568">
        <v>0</v>
      </c>
    </row>
    <row r="23" spans="1:26" outlineLevel="2">
      <c r="A23" s="807"/>
      <c r="B23" s="808"/>
      <c r="C23" s="808"/>
      <c r="D23" s="64">
        <v>8</v>
      </c>
      <c r="E23" s="61">
        <f t="shared" si="4"/>
        <v>0</v>
      </c>
      <c r="F23" s="568">
        <v>0</v>
      </c>
      <c r="G23" s="568">
        <v>0</v>
      </c>
      <c r="H23" s="568">
        <v>0</v>
      </c>
      <c r="I23" s="568">
        <v>0</v>
      </c>
      <c r="J23" s="568">
        <v>0</v>
      </c>
      <c r="K23" s="568">
        <v>0</v>
      </c>
      <c r="L23" s="568">
        <v>0</v>
      </c>
      <c r="M23" s="568">
        <v>0</v>
      </c>
      <c r="N23" s="568">
        <v>0</v>
      </c>
      <c r="O23" s="568">
        <v>0</v>
      </c>
      <c r="P23" s="568">
        <v>0</v>
      </c>
      <c r="Q23" s="568">
        <v>0</v>
      </c>
      <c r="R23" s="568">
        <v>0</v>
      </c>
      <c r="S23" s="568">
        <v>0</v>
      </c>
      <c r="T23" s="568">
        <v>0</v>
      </c>
      <c r="U23" s="568">
        <v>0</v>
      </c>
      <c r="V23" s="568">
        <v>0</v>
      </c>
      <c r="W23" s="568">
        <v>0</v>
      </c>
      <c r="X23" s="568">
        <v>0</v>
      </c>
      <c r="Y23" s="568">
        <v>0</v>
      </c>
      <c r="Z23" s="568">
        <v>0</v>
      </c>
    </row>
    <row r="24" spans="1:26" outlineLevel="2">
      <c r="A24" s="807"/>
      <c r="B24" s="808"/>
      <c r="C24" s="808"/>
      <c r="D24" s="64">
        <v>9</v>
      </c>
      <c r="E24" s="61">
        <f t="shared" si="4"/>
        <v>0</v>
      </c>
      <c r="F24" s="568">
        <v>0</v>
      </c>
      <c r="G24" s="568">
        <v>0</v>
      </c>
      <c r="H24" s="568">
        <v>0</v>
      </c>
      <c r="I24" s="568">
        <v>0</v>
      </c>
      <c r="J24" s="568">
        <v>0</v>
      </c>
      <c r="K24" s="568">
        <v>0</v>
      </c>
      <c r="L24" s="568">
        <v>0</v>
      </c>
      <c r="M24" s="568">
        <v>0</v>
      </c>
      <c r="N24" s="568">
        <v>0</v>
      </c>
      <c r="O24" s="568">
        <v>0</v>
      </c>
      <c r="P24" s="568">
        <v>0</v>
      </c>
      <c r="Q24" s="568">
        <v>0</v>
      </c>
      <c r="R24" s="568">
        <v>0</v>
      </c>
      <c r="S24" s="568">
        <v>0</v>
      </c>
      <c r="T24" s="568">
        <v>0</v>
      </c>
      <c r="U24" s="568">
        <v>0</v>
      </c>
      <c r="V24" s="568">
        <v>0</v>
      </c>
      <c r="W24" s="568">
        <v>0</v>
      </c>
      <c r="X24" s="568">
        <v>0</v>
      </c>
      <c r="Y24" s="568">
        <v>0</v>
      </c>
      <c r="Z24" s="568">
        <v>0</v>
      </c>
    </row>
    <row r="25" spans="1:26" ht="15.75" outlineLevel="2" thickBot="1">
      <c r="A25" s="807"/>
      <c r="B25" s="808"/>
      <c r="C25" s="808"/>
      <c r="D25" s="65">
        <v>10</v>
      </c>
      <c r="E25" s="61">
        <f t="shared" si="4"/>
        <v>0</v>
      </c>
      <c r="F25" s="568">
        <v>0</v>
      </c>
      <c r="G25" s="568">
        <v>0</v>
      </c>
      <c r="H25" s="568">
        <v>0</v>
      </c>
      <c r="I25" s="568">
        <v>0</v>
      </c>
      <c r="J25" s="568">
        <v>0</v>
      </c>
      <c r="K25" s="568">
        <v>0</v>
      </c>
      <c r="L25" s="568">
        <v>0</v>
      </c>
      <c r="M25" s="568">
        <v>0</v>
      </c>
      <c r="N25" s="568">
        <v>0</v>
      </c>
      <c r="O25" s="568">
        <v>0</v>
      </c>
      <c r="P25" s="568">
        <v>0</v>
      </c>
      <c r="Q25" s="568">
        <v>0</v>
      </c>
      <c r="R25" s="568">
        <v>0</v>
      </c>
      <c r="S25" s="568">
        <v>0</v>
      </c>
      <c r="T25" s="568">
        <v>0</v>
      </c>
      <c r="U25" s="568">
        <v>0</v>
      </c>
      <c r="V25" s="568">
        <v>0</v>
      </c>
      <c r="W25" s="568">
        <v>0</v>
      </c>
      <c r="X25" s="568">
        <v>0</v>
      </c>
      <c r="Y25" s="568">
        <v>0</v>
      </c>
      <c r="Z25" s="568">
        <v>0</v>
      </c>
    </row>
    <row r="26" spans="1:26" outlineLevel="2">
      <c r="A26" s="807" t="s">
        <v>72</v>
      </c>
      <c r="B26" s="808" t="s">
        <v>78</v>
      </c>
      <c r="C26" s="808">
        <v>633013</v>
      </c>
      <c r="D26" s="63">
        <v>1</v>
      </c>
      <c r="E26" s="60">
        <f t="shared" si="4"/>
        <v>0</v>
      </c>
      <c r="F26" s="569">
        <v>0</v>
      </c>
      <c r="G26" s="569">
        <v>0</v>
      </c>
      <c r="H26" s="569">
        <v>0</v>
      </c>
      <c r="I26" s="569">
        <v>0</v>
      </c>
      <c r="J26" s="569">
        <v>0</v>
      </c>
      <c r="K26" s="569">
        <v>0</v>
      </c>
      <c r="L26" s="569">
        <v>0</v>
      </c>
      <c r="M26" s="569">
        <v>0</v>
      </c>
      <c r="N26" s="569">
        <v>0</v>
      </c>
      <c r="O26" s="569">
        <v>0</v>
      </c>
      <c r="P26" s="569">
        <v>0</v>
      </c>
      <c r="Q26" s="569">
        <v>0</v>
      </c>
      <c r="R26" s="569">
        <v>0</v>
      </c>
      <c r="S26" s="569">
        <v>0</v>
      </c>
      <c r="T26" s="569">
        <v>0</v>
      </c>
      <c r="U26" s="569">
        <v>0</v>
      </c>
      <c r="V26" s="569">
        <v>0</v>
      </c>
      <c r="W26" s="569">
        <v>0</v>
      </c>
      <c r="X26" s="569">
        <v>0</v>
      </c>
      <c r="Y26" s="569">
        <v>0</v>
      </c>
      <c r="Z26" s="569">
        <v>0</v>
      </c>
    </row>
    <row r="27" spans="1:26" outlineLevel="2">
      <c r="A27" s="807"/>
      <c r="B27" s="808"/>
      <c r="C27" s="808"/>
      <c r="D27" s="64">
        <v>2</v>
      </c>
      <c r="E27" s="61">
        <f t="shared" si="4"/>
        <v>0</v>
      </c>
      <c r="F27" s="570">
        <v>0</v>
      </c>
      <c r="G27" s="570">
        <v>0</v>
      </c>
      <c r="H27" s="570">
        <v>0</v>
      </c>
      <c r="I27" s="570">
        <v>0</v>
      </c>
      <c r="J27" s="570">
        <v>0</v>
      </c>
      <c r="K27" s="570">
        <v>0</v>
      </c>
      <c r="L27" s="570">
        <v>0</v>
      </c>
      <c r="M27" s="570">
        <v>0</v>
      </c>
      <c r="N27" s="570">
        <v>0</v>
      </c>
      <c r="O27" s="570">
        <v>0</v>
      </c>
      <c r="P27" s="570">
        <v>0</v>
      </c>
      <c r="Q27" s="570">
        <v>0</v>
      </c>
      <c r="R27" s="570">
        <v>0</v>
      </c>
      <c r="S27" s="570">
        <v>0</v>
      </c>
      <c r="T27" s="570">
        <v>0</v>
      </c>
      <c r="U27" s="570">
        <v>0</v>
      </c>
      <c r="V27" s="570">
        <v>0</v>
      </c>
      <c r="W27" s="570">
        <v>0</v>
      </c>
      <c r="X27" s="570">
        <v>0</v>
      </c>
      <c r="Y27" s="570">
        <v>0</v>
      </c>
      <c r="Z27" s="570">
        <v>0</v>
      </c>
    </row>
    <row r="28" spans="1:26" outlineLevel="2">
      <c r="A28" s="807"/>
      <c r="B28" s="808"/>
      <c r="C28" s="808"/>
      <c r="D28" s="64">
        <v>3</v>
      </c>
      <c r="E28" s="61">
        <f t="shared" si="4"/>
        <v>0</v>
      </c>
      <c r="F28" s="570">
        <v>0</v>
      </c>
      <c r="G28" s="570">
        <v>0</v>
      </c>
      <c r="H28" s="570">
        <v>0</v>
      </c>
      <c r="I28" s="570">
        <v>0</v>
      </c>
      <c r="J28" s="570">
        <v>0</v>
      </c>
      <c r="K28" s="570">
        <v>0</v>
      </c>
      <c r="L28" s="570">
        <v>0</v>
      </c>
      <c r="M28" s="570">
        <v>0</v>
      </c>
      <c r="N28" s="570">
        <v>0</v>
      </c>
      <c r="O28" s="570">
        <v>0</v>
      </c>
      <c r="P28" s="570">
        <v>0</v>
      </c>
      <c r="Q28" s="570">
        <v>0</v>
      </c>
      <c r="R28" s="570">
        <v>0</v>
      </c>
      <c r="S28" s="570">
        <v>0</v>
      </c>
      <c r="T28" s="570">
        <v>0</v>
      </c>
      <c r="U28" s="570">
        <v>0</v>
      </c>
      <c r="V28" s="570">
        <v>0</v>
      </c>
      <c r="W28" s="570">
        <v>0</v>
      </c>
      <c r="X28" s="570">
        <v>0</v>
      </c>
      <c r="Y28" s="570">
        <v>0</v>
      </c>
      <c r="Z28" s="570">
        <v>0</v>
      </c>
    </row>
    <row r="29" spans="1:26" outlineLevel="2">
      <c r="A29" s="807"/>
      <c r="B29" s="808"/>
      <c r="C29" s="808"/>
      <c r="D29" s="64">
        <v>4</v>
      </c>
      <c r="E29" s="61">
        <f t="shared" si="4"/>
        <v>0</v>
      </c>
      <c r="F29" s="570">
        <v>0</v>
      </c>
      <c r="G29" s="570">
        <v>0</v>
      </c>
      <c r="H29" s="570">
        <v>0</v>
      </c>
      <c r="I29" s="570">
        <v>0</v>
      </c>
      <c r="J29" s="570">
        <v>0</v>
      </c>
      <c r="K29" s="570">
        <v>0</v>
      </c>
      <c r="L29" s="570">
        <v>0</v>
      </c>
      <c r="M29" s="570">
        <v>0</v>
      </c>
      <c r="N29" s="570">
        <v>0</v>
      </c>
      <c r="O29" s="570">
        <v>0</v>
      </c>
      <c r="P29" s="570">
        <v>0</v>
      </c>
      <c r="Q29" s="570">
        <v>0</v>
      </c>
      <c r="R29" s="570">
        <v>0</v>
      </c>
      <c r="S29" s="570">
        <v>0</v>
      </c>
      <c r="T29" s="570">
        <v>0</v>
      </c>
      <c r="U29" s="570">
        <v>0</v>
      </c>
      <c r="V29" s="570">
        <v>0</v>
      </c>
      <c r="W29" s="570">
        <v>0</v>
      </c>
      <c r="X29" s="570">
        <v>0</v>
      </c>
      <c r="Y29" s="570">
        <v>0</v>
      </c>
      <c r="Z29" s="570">
        <v>0</v>
      </c>
    </row>
    <row r="30" spans="1:26" outlineLevel="2">
      <c r="A30" s="807"/>
      <c r="B30" s="808"/>
      <c r="C30" s="808"/>
      <c r="D30" s="64">
        <v>5</v>
      </c>
      <c r="E30" s="61">
        <f t="shared" si="4"/>
        <v>0</v>
      </c>
      <c r="F30" s="570">
        <v>0</v>
      </c>
      <c r="G30" s="570">
        <v>0</v>
      </c>
      <c r="H30" s="570">
        <v>0</v>
      </c>
      <c r="I30" s="570">
        <v>0</v>
      </c>
      <c r="J30" s="570">
        <v>0</v>
      </c>
      <c r="K30" s="570">
        <v>0</v>
      </c>
      <c r="L30" s="570">
        <v>0</v>
      </c>
      <c r="M30" s="570">
        <v>0</v>
      </c>
      <c r="N30" s="570">
        <v>0</v>
      </c>
      <c r="O30" s="570">
        <v>0</v>
      </c>
      <c r="P30" s="570">
        <v>0</v>
      </c>
      <c r="Q30" s="570">
        <v>0</v>
      </c>
      <c r="R30" s="570">
        <v>0</v>
      </c>
      <c r="S30" s="570">
        <v>0</v>
      </c>
      <c r="T30" s="570">
        <v>0</v>
      </c>
      <c r="U30" s="570">
        <v>0</v>
      </c>
      <c r="V30" s="570">
        <v>0</v>
      </c>
      <c r="W30" s="570">
        <v>0</v>
      </c>
      <c r="X30" s="570">
        <v>0</v>
      </c>
      <c r="Y30" s="570">
        <v>0</v>
      </c>
      <c r="Z30" s="570">
        <v>0</v>
      </c>
    </row>
    <row r="31" spans="1:26" outlineLevel="2">
      <c r="A31" s="807"/>
      <c r="B31" s="808"/>
      <c r="C31" s="808"/>
      <c r="D31" s="64">
        <v>6</v>
      </c>
      <c r="E31" s="61">
        <f t="shared" si="4"/>
        <v>0</v>
      </c>
      <c r="F31" s="570">
        <v>0</v>
      </c>
      <c r="G31" s="570">
        <v>0</v>
      </c>
      <c r="H31" s="570">
        <v>0</v>
      </c>
      <c r="I31" s="570">
        <v>0</v>
      </c>
      <c r="J31" s="570">
        <v>0</v>
      </c>
      <c r="K31" s="570">
        <v>0</v>
      </c>
      <c r="L31" s="570">
        <v>0</v>
      </c>
      <c r="M31" s="570">
        <v>0</v>
      </c>
      <c r="N31" s="570">
        <v>0</v>
      </c>
      <c r="O31" s="570">
        <v>0</v>
      </c>
      <c r="P31" s="570">
        <v>0</v>
      </c>
      <c r="Q31" s="570">
        <v>0</v>
      </c>
      <c r="R31" s="570">
        <v>0</v>
      </c>
      <c r="S31" s="570">
        <v>0</v>
      </c>
      <c r="T31" s="570">
        <v>0</v>
      </c>
      <c r="U31" s="570">
        <v>0</v>
      </c>
      <c r="V31" s="570">
        <v>0</v>
      </c>
      <c r="W31" s="570">
        <v>0</v>
      </c>
      <c r="X31" s="570">
        <v>0</v>
      </c>
      <c r="Y31" s="570">
        <v>0</v>
      </c>
      <c r="Z31" s="570">
        <v>0</v>
      </c>
    </row>
    <row r="32" spans="1:26" outlineLevel="2">
      <c r="A32" s="807"/>
      <c r="B32" s="808"/>
      <c r="C32" s="808"/>
      <c r="D32" s="64">
        <v>7</v>
      </c>
      <c r="E32" s="61">
        <f t="shared" si="4"/>
        <v>0</v>
      </c>
      <c r="F32" s="570">
        <v>0</v>
      </c>
      <c r="G32" s="570">
        <v>0</v>
      </c>
      <c r="H32" s="570">
        <v>0</v>
      </c>
      <c r="I32" s="570">
        <v>0</v>
      </c>
      <c r="J32" s="570">
        <v>0</v>
      </c>
      <c r="K32" s="570">
        <v>0</v>
      </c>
      <c r="L32" s="570">
        <v>0</v>
      </c>
      <c r="M32" s="570">
        <v>0</v>
      </c>
      <c r="N32" s="570">
        <v>0</v>
      </c>
      <c r="O32" s="570">
        <v>0</v>
      </c>
      <c r="P32" s="570">
        <v>0</v>
      </c>
      <c r="Q32" s="570">
        <v>0</v>
      </c>
      <c r="R32" s="570">
        <v>0</v>
      </c>
      <c r="S32" s="570">
        <v>0</v>
      </c>
      <c r="T32" s="570">
        <v>0</v>
      </c>
      <c r="U32" s="570">
        <v>0</v>
      </c>
      <c r="V32" s="570">
        <v>0</v>
      </c>
      <c r="W32" s="570">
        <v>0</v>
      </c>
      <c r="X32" s="570">
        <v>0</v>
      </c>
      <c r="Y32" s="570">
        <v>0</v>
      </c>
      <c r="Z32" s="570">
        <v>0</v>
      </c>
    </row>
    <row r="33" spans="1:26" outlineLevel="2">
      <c r="A33" s="807"/>
      <c r="B33" s="808"/>
      <c r="C33" s="808"/>
      <c r="D33" s="64">
        <v>8</v>
      </c>
      <c r="E33" s="61">
        <f t="shared" si="4"/>
        <v>0</v>
      </c>
      <c r="F33" s="570">
        <v>0</v>
      </c>
      <c r="G33" s="570">
        <v>0</v>
      </c>
      <c r="H33" s="570">
        <v>0</v>
      </c>
      <c r="I33" s="570">
        <v>0</v>
      </c>
      <c r="J33" s="570">
        <v>0</v>
      </c>
      <c r="K33" s="570">
        <v>0</v>
      </c>
      <c r="L33" s="570">
        <v>0</v>
      </c>
      <c r="M33" s="570">
        <v>0</v>
      </c>
      <c r="N33" s="570">
        <v>0</v>
      </c>
      <c r="O33" s="570">
        <v>0</v>
      </c>
      <c r="P33" s="570">
        <v>0</v>
      </c>
      <c r="Q33" s="570">
        <v>0</v>
      </c>
      <c r="R33" s="570">
        <v>0</v>
      </c>
      <c r="S33" s="570">
        <v>0</v>
      </c>
      <c r="T33" s="570">
        <v>0</v>
      </c>
      <c r="U33" s="570">
        <v>0</v>
      </c>
      <c r="V33" s="570">
        <v>0</v>
      </c>
      <c r="W33" s="570">
        <v>0</v>
      </c>
      <c r="X33" s="570">
        <v>0</v>
      </c>
      <c r="Y33" s="570">
        <v>0</v>
      </c>
      <c r="Z33" s="570">
        <v>0</v>
      </c>
    </row>
    <row r="34" spans="1:26" outlineLevel="2">
      <c r="A34" s="807"/>
      <c r="B34" s="808"/>
      <c r="C34" s="808"/>
      <c r="D34" s="64">
        <v>9</v>
      </c>
      <c r="E34" s="61">
        <f t="shared" si="4"/>
        <v>0</v>
      </c>
      <c r="F34" s="570">
        <v>0</v>
      </c>
      <c r="G34" s="570">
        <v>0</v>
      </c>
      <c r="H34" s="570">
        <v>0</v>
      </c>
      <c r="I34" s="570">
        <v>0</v>
      </c>
      <c r="J34" s="570">
        <v>0</v>
      </c>
      <c r="K34" s="570">
        <v>0</v>
      </c>
      <c r="L34" s="570">
        <v>0</v>
      </c>
      <c r="M34" s="570">
        <v>0</v>
      </c>
      <c r="N34" s="570">
        <v>0</v>
      </c>
      <c r="O34" s="570">
        <v>0</v>
      </c>
      <c r="P34" s="570">
        <v>0</v>
      </c>
      <c r="Q34" s="570">
        <v>0</v>
      </c>
      <c r="R34" s="570">
        <v>0</v>
      </c>
      <c r="S34" s="570">
        <v>0</v>
      </c>
      <c r="T34" s="570">
        <v>0</v>
      </c>
      <c r="U34" s="570">
        <v>0</v>
      </c>
      <c r="V34" s="570">
        <v>0</v>
      </c>
      <c r="W34" s="570">
        <v>0</v>
      </c>
      <c r="X34" s="570">
        <v>0</v>
      </c>
      <c r="Y34" s="570">
        <v>0</v>
      </c>
      <c r="Z34" s="570">
        <v>0</v>
      </c>
    </row>
    <row r="35" spans="1:26" ht="15.75" outlineLevel="2" thickBot="1">
      <c r="A35" s="807"/>
      <c r="B35" s="808"/>
      <c r="C35" s="808"/>
      <c r="D35" s="65">
        <v>10</v>
      </c>
      <c r="E35" s="62">
        <f t="shared" si="4"/>
        <v>0</v>
      </c>
      <c r="F35" s="571">
        <v>0</v>
      </c>
      <c r="G35" s="571">
        <v>0</v>
      </c>
      <c r="H35" s="571">
        <v>0</v>
      </c>
      <c r="I35" s="571">
        <v>0</v>
      </c>
      <c r="J35" s="571">
        <v>0</v>
      </c>
      <c r="K35" s="571">
        <v>0</v>
      </c>
      <c r="L35" s="571">
        <v>0</v>
      </c>
      <c r="M35" s="571">
        <v>0</v>
      </c>
      <c r="N35" s="571">
        <v>0</v>
      </c>
      <c r="O35" s="571">
        <v>0</v>
      </c>
      <c r="P35" s="571">
        <v>0</v>
      </c>
      <c r="Q35" s="571">
        <v>0</v>
      </c>
      <c r="R35" s="571">
        <v>0</v>
      </c>
      <c r="S35" s="571">
        <v>0</v>
      </c>
      <c r="T35" s="571">
        <v>0</v>
      </c>
      <c r="U35" s="571">
        <v>0</v>
      </c>
      <c r="V35" s="571">
        <v>0</v>
      </c>
      <c r="W35" s="571">
        <v>0</v>
      </c>
      <c r="X35" s="571">
        <v>0</v>
      </c>
      <c r="Y35" s="571">
        <v>0</v>
      </c>
      <c r="Z35" s="571">
        <v>0</v>
      </c>
    </row>
    <row r="36" spans="1:26" ht="15.75" outlineLevel="1" thickBot="1">
      <c r="A36" s="17" t="s">
        <v>106</v>
      </c>
      <c r="B36" s="17"/>
      <c r="C36" s="17"/>
      <c r="D36" s="27"/>
      <c r="E36" s="112">
        <f t="shared" ref="E36:Z36" si="5">SUM(E37:E76)</f>
        <v>6745902.0899999999</v>
      </c>
      <c r="F36" s="113">
        <f t="shared" si="5"/>
        <v>1055402.5987355337</v>
      </c>
      <c r="G36" s="113">
        <f t="shared" si="5"/>
        <v>228429.6035619374</v>
      </c>
      <c r="H36" s="113">
        <f t="shared" si="5"/>
        <v>314018.41704843543</v>
      </c>
      <c r="I36" s="113">
        <f t="shared" si="5"/>
        <v>405968.56126703811</v>
      </c>
      <c r="J36" s="113">
        <f t="shared" si="5"/>
        <v>106986.01685812259</v>
      </c>
      <c r="K36" s="113">
        <f t="shared" si="5"/>
        <v>234790.934294042</v>
      </c>
      <c r="L36" s="113">
        <f t="shared" si="5"/>
        <v>491557.37475353613</v>
      </c>
      <c r="M36" s="113">
        <f t="shared" si="5"/>
        <v>576567.88544620667</v>
      </c>
      <c r="N36" s="113">
        <f t="shared" si="5"/>
        <v>256188.13766566652</v>
      </c>
      <c r="O36" s="113">
        <f t="shared" si="5"/>
        <v>384571.35789541365</v>
      </c>
      <c r="P36" s="113">
        <f t="shared" si="5"/>
        <v>298982.54440891551</v>
      </c>
      <c r="Q36" s="113">
        <f t="shared" si="5"/>
        <v>213393.73092241751</v>
      </c>
      <c r="R36" s="113">
        <f t="shared" si="5"/>
        <v>213393.73092241751</v>
      </c>
      <c r="S36" s="113">
        <f t="shared" si="5"/>
        <v>320379.74778054003</v>
      </c>
      <c r="T36" s="113">
        <f t="shared" si="5"/>
        <v>363174.15452378913</v>
      </c>
      <c r="U36" s="113">
        <f t="shared" si="5"/>
        <v>341776.95115216455</v>
      </c>
      <c r="V36" s="113">
        <f t="shared" si="5"/>
        <v>171177.62697299614</v>
      </c>
      <c r="W36" s="113">
        <f t="shared" si="5"/>
        <v>298982.54440891551</v>
      </c>
      <c r="X36" s="113">
        <f t="shared" si="5"/>
        <v>341776.95115216455</v>
      </c>
      <c r="Y36" s="113">
        <f t="shared" si="5"/>
        <v>128383.22022974709</v>
      </c>
      <c r="Z36" s="113">
        <f t="shared" si="5"/>
        <v>0</v>
      </c>
    </row>
    <row r="37" spans="1:26" outlineLevel="2">
      <c r="A37" s="807" t="s">
        <v>76</v>
      </c>
      <c r="B37" s="808" t="s">
        <v>73</v>
      </c>
      <c r="C37" s="808">
        <v>711003</v>
      </c>
      <c r="D37" s="63">
        <v>1</v>
      </c>
      <c r="E37" s="67">
        <f t="shared" ref="E37:E76" si="6">SUM(F37:Z37)</f>
        <v>1893278.7595242176</v>
      </c>
      <c r="F37" s="564">
        <f>IFERROR(IF(VLOOKUP(F$2,MODULY_CBA!$B$3:$I$23,8,0)=$D37,SUMIF('Rozpocet - Vyvoj aplikacii'!$B$3:$B$179,'TCO TO BE- SW'!F$2,'Rozpocet - Vyvoj aplikacii'!$J$3:$J$179),0),0)</f>
        <v>997181.45342906122</v>
      </c>
      <c r="G37" s="564">
        <f>IFERROR(IF(VLOOKUP(G$2,MODULY_CBA!$B$3:$I$23,8,0)=$D37,SUMIF('Rozpocet - Vyvoj aplikacii'!$B$3:$B$179,'TCO TO BE- SW'!G$2,'Rozpocet - Vyvoj aplikacii'!$J$3:$J$179),0),0)</f>
        <v>215828.31457779682</v>
      </c>
      <c r="H37" s="564">
        <f>IFERROR(IF(VLOOKUP(H$2,MODULY_CBA!$B$3:$I$23,8,0)=$D37,SUMIF('Rozpocet - Vyvoj aplikacii'!$B$3:$B$179,'TCO TO BE- SW'!H$2,'Rozpocet - Vyvoj aplikacii'!$J$3:$J$179),0),0)</f>
        <v>296695.63244492066</v>
      </c>
      <c r="I37" s="564">
        <f>IFERROR(IF(VLOOKUP(I$2,MODULY_CBA!$B$3:$I$23,8,0)=$D37,SUMIF('Rozpocet - Vyvoj aplikacii'!$B$3:$B$179,'TCO TO BE- SW'!I$2,'Rozpocet - Vyvoj aplikacii'!$J$3:$J$179),0),0)</f>
        <v>383573.35907243891</v>
      </c>
      <c r="J37" s="564">
        <f>IFERROR(IF(VLOOKUP(J$2,MODULY_CBA!$B$3:$I$23,8,0)=$D37,SUMIF('Rozpocet - Vyvoj aplikacii'!$B$3:$B$179,'TCO TO BE- SW'!J$2,'Rozpocet - Vyvoj aplikacii'!$J$3:$J$179),0),0)</f>
        <v>0</v>
      </c>
      <c r="K37" s="564">
        <f>IFERROR(IF(VLOOKUP(K$2,MODULY_CBA!$B$3:$I$23,8,0)=$D37,SUMIF('Rozpocet - Vyvoj aplikacii'!$B$3:$B$179,'TCO TO BE- SW'!K$2,'Rozpocet - Vyvoj aplikacii'!$J$3:$J$179),0),0)</f>
        <v>0</v>
      </c>
      <c r="L37" s="564">
        <f>IFERROR(IF(VLOOKUP(L$2,MODULY_CBA!$B$3:$I$23,8,0)=$D37,SUMIF('Rozpocet - Vyvoj aplikacii'!$B$3:$B$179,'TCO TO BE- SW'!L$2,'Rozpocet - Vyvoj aplikacii'!$J$3:$J$179),0),0)</f>
        <v>0</v>
      </c>
      <c r="M37" s="564">
        <f>IFERROR(IF(VLOOKUP(M$2,MODULY_CBA!$B$3:$I$23,8,0)=$D37,SUMIF('Rozpocet - Vyvoj aplikacii'!$B$3:$B$179,'TCO TO BE- SW'!M$2,'Rozpocet - Vyvoj aplikacii'!$J$3:$J$179),0),0)</f>
        <v>0</v>
      </c>
      <c r="N37" s="564">
        <f>IFERROR(IF(VLOOKUP(N$2,MODULY_CBA!$B$3:$I$23,8,0)=$D37,SUMIF('Rozpocet - Vyvoj aplikacii'!$B$3:$B$179,'TCO TO BE- SW'!N$2,'Rozpocet - Vyvoj aplikacii'!$J$3:$J$179),0),0)</f>
        <v>0</v>
      </c>
      <c r="O37" s="564">
        <f>IFERROR(IF(VLOOKUP(O$2,MODULY_CBA!$B$3:$I$23,8,0)=$D37,SUMIF('Rozpocet - Vyvoj aplikacii'!$B$3:$B$179,'TCO TO BE- SW'!O$2,'Rozpocet - Vyvoj aplikacii'!$J$3:$J$179),0),0)</f>
        <v>0</v>
      </c>
      <c r="P37" s="564">
        <f>IFERROR(IF(VLOOKUP(P$2,MODULY_CBA!$B$3:$I$23,8,0)=$D37,SUMIF('Rozpocet - Vyvoj aplikacii'!$B$3:$B$179,'TCO TO BE- SW'!P$2,'Rozpocet - Vyvoj aplikacii'!$J$3:$J$179),0),0)</f>
        <v>0</v>
      </c>
      <c r="Q37" s="564">
        <f>IFERROR(IF(VLOOKUP(Q$2,MODULY_CBA!$B$3:$I$23,8,0)=$D37,SUMIF('Rozpocet - Vyvoj aplikacii'!$B$3:$B$179,'TCO TO BE- SW'!Q$2,'Rozpocet - Vyvoj aplikacii'!$J$3:$J$179),0),0)</f>
        <v>0</v>
      </c>
      <c r="R37" s="564">
        <f>IFERROR(IF(VLOOKUP(R$2,MODULY_CBA!$B$3:$I$23,8,0)=$D37,SUMIF('Rozpocet - Vyvoj aplikacii'!$B$3:$B$179,'TCO TO BE- SW'!R$2,'Rozpocet - Vyvoj aplikacii'!$J$3:$J$179),0),0)</f>
        <v>0</v>
      </c>
      <c r="S37" s="564">
        <f>IFERROR(IF(VLOOKUP(S$2,MODULY_CBA!$B$3:$I$23,8,0)=$D37,SUMIF('Rozpocet - Vyvoj aplikacii'!$B$3:$B$179,'TCO TO BE- SW'!S$2,'Rozpocet - Vyvoj aplikacii'!$J$3:$J$179),0),0)</f>
        <v>0</v>
      </c>
      <c r="T37" s="564">
        <f>IFERROR(IF(VLOOKUP(T$2,MODULY_CBA!$B$3:$I$23,8,0)=$D37,SUMIF('Rozpocet - Vyvoj aplikacii'!$B$3:$B$179,'TCO TO BE- SW'!T$2,'Rozpocet - Vyvoj aplikacii'!$J$3:$J$179),0),0)</f>
        <v>0</v>
      </c>
      <c r="U37" s="564">
        <f>IFERROR(IF(VLOOKUP(U$2,MODULY_CBA!$B$3:$I$23,8,0)=$D37,SUMIF('Rozpocet - Vyvoj aplikacii'!$B$3:$B$179,'TCO TO BE- SW'!U$2,'Rozpocet - Vyvoj aplikacii'!$J$3:$J$179),0),0)</f>
        <v>0</v>
      </c>
      <c r="V37" s="564">
        <f>IFERROR(IF(VLOOKUP(V$2,MODULY_CBA!$B$3:$I$23,8,0)=$D37,SUMIF('Rozpocet - Vyvoj aplikacii'!$B$3:$B$179,'TCO TO BE- SW'!V$2,'Rozpocet - Vyvoj aplikacii'!$J$3:$J$179),0),0)</f>
        <v>0</v>
      </c>
      <c r="W37" s="564">
        <f>IFERROR(IF(VLOOKUP(W$2,MODULY_CBA!$B$3:$I$23,8,0)=$D37,SUMIF('Rozpocet - Vyvoj aplikacii'!$B$3:$B$179,'TCO TO BE- SW'!W$2,'Rozpocet - Vyvoj aplikacii'!$J$3:$J$179),0),0)</f>
        <v>0</v>
      </c>
      <c r="X37" s="564">
        <f>IFERROR(IF(VLOOKUP(X$2,MODULY_CBA!$B$3:$I$23,8,0)=$D37,SUMIF('Rozpocet - Vyvoj aplikacii'!$B$3:$B$179,'TCO TO BE- SW'!X$2,'Rozpocet - Vyvoj aplikacii'!$J$3:$J$179),0),0)</f>
        <v>0</v>
      </c>
      <c r="Y37" s="564">
        <f>IFERROR(IF(VLOOKUP(Y$2,MODULY_CBA!$B$3:$I$23,8,0)=$D37,SUMIF('Rozpocet - Vyvoj aplikacii'!$B$3:$B$179,'TCO TO BE- SW'!Y$2,'Rozpocet - Vyvoj aplikacii'!$J$3:$J$179),0),0)</f>
        <v>0</v>
      </c>
      <c r="Z37" s="564">
        <f>IFERROR(IF(VLOOKUP(Z$2,MODULY_CBA!$B$3:$I$23,8,0)=$D37,SUMIF('Rozpocet - Vyvoj aplikacii'!$B$3:$B$179,'TCO TO BE- SW'!Z$2,'Rozpocet - Vyvoj aplikacii'!$J$3:$J$179),0),0)</f>
        <v>0</v>
      </c>
    </row>
    <row r="38" spans="1:26" outlineLevel="2">
      <c r="A38" s="807"/>
      <c r="B38" s="808"/>
      <c r="C38" s="808"/>
      <c r="D38" s="64">
        <v>2</v>
      </c>
      <c r="E38" s="68">
        <f t="shared" si="6"/>
        <v>1574180.6944269179</v>
      </c>
      <c r="F38" s="565">
        <f>IFERROR(IF(VLOOKUP(F$2,MODULY_CBA!$B$3:$I$23,8,0)=$D38,SUMIF('Rozpocet - Vyvoj aplikacii'!$B$3:$B$179,'TCO TO BE- SW'!F$2,'Rozpocet - Vyvoj aplikacii'!$J$3:$J$179),0),0)</f>
        <v>0</v>
      </c>
      <c r="G38" s="565">
        <f>IFERROR(IF(VLOOKUP(G$2,MODULY_CBA!$B$3:$I$23,8,0)=$D38,SUMIF('Rozpocet - Vyvoj aplikacii'!$B$3:$B$179,'TCO TO BE- SW'!G$2,'Rozpocet - Vyvoj aplikacii'!$J$3:$J$179),0),0)</f>
        <v>0</v>
      </c>
      <c r="H38" s="565">
        <f>IFERROR(IF(VLOOKUP(H$2,MODULY_CBA!$B$3:$I$23,8,0)=$D38,SUMIF('Rozpocet - Vyvoj aplikacii'!$B$3:$B$179,'TCO TO BE- SW'!H$2,'Rozpocet - Vyvoj aplikacii'!$J$3:$J$179),0),0)</f>
        <v>0</v>
      </c>
      <c r="I38" s="565">
        <f>IFERROR(IF(VLOOKUP(I$2,MODULY_CBA!$B$3:$I$23,8,0)=$D38,SUMIF('Rozpocet - Vyvoj aplikacii'!$B$3:$B$179,'TCO TO BE- SW'!I$2,'Rozpocet - Vyvoj aplikacii'!$J$3:$J$179),0),0)</f>
        <v>0</v>
      </c>
      <c r="J38" s="565">
        <f>IFERROR(IF(VLOOKUP(J$2,MODULY_CBA!$B$3:$I$23,8,0)=$D38,SUMIF('Rozpocet - Vyvoj aplikacii'!$B$3:$B$179,'TCO TO BE- SW'!J$2,'Rozpocet - Vyvoj aplikacii'!$J$3:$J$179),0),0)</f>
        <v>101084.14733390484</v>
      </c>
      <c r="K38" s="565">
        <f>IFERROR(IF(VLOOKUP(K$2,MODULY_CBA!$B$3:$I$23,8,0)=$D38,SUMIF('Rozpocet - Vyvoj aplikacii'!$B$3:$B$179,'TCO TO BE- SW'!K$2,'Rozpocet - Vyvoj aplikacii'!$J$3:$J$179),0),0)</f>
        <v>221838.72333819116</v>
      </c>
      <c r="L38" s="565">
        <f>IFERROR(IF(VLOOKUP(L$2,MODULY_CBA!$B$3:$I$23,8,0)=$D38,SUMIF('Rozpocet - Vyvoj aplikacii'!$B$3:$B$179,'TCO TO BE- SW'!L$2,'Rozpocet - Vyvoj aplikacii'!$J$3:$J$179),0),0)</f>
        <v>464440.67693956272</v>
      </c>
      <c r="M38" s="565">
        <f>IFERROR(IF(VLOOKUP(M$2,MODULY_CBA!$B$3:$I$23,8,0)=$D38,SUMIF('Rozpocet - Vyvoj aplikacii'!$B$3:$B$179,'TCO TO BE- SW'!M$2,'Rozpocet - Vyvoj aplikacii'!$J$3:$J$179),0),0)</f>
        <v>544761.5940102872</v>
      </c>
      <c r="N38" s="565">
        <f>IFERROR(IF(VLOOKUP(N$2,MODULY_CBA!$B$3:$I$23,8,0)=$D38,SUMIF('Rozpocet - Vyvoj aplikacii'!$B$3:$B$179,'TCO TO BE- SW'!N$2,'Rozpocet - Vyvoj aplikacii'!$J$3:$J$179),0),0)</f>
        <v>242055.55280497213</v>
      </c>
      <c r="O38" s="565">
        <f>IFERROR(IF(VLOOKUP(O$2,MODULY_CBA!$B$3:$I$23,8,0)=$D38,SUMIF('Rozpocet - Vyvoj aplikacii'!$B$3:$B$179,'TCO TO BE- SW'!O$2,'Rozpocet - Vyvoj aplikacii'!$J$3:$J$179),0),0)</f>
        <v>0</v>
      </c>
      <c r="P38" s="565">
        <f>IFERROR(IF(VLOOKUP(P$2,MODULY_CBA!$B$3:$I$23,8,0)=$D38,SUMIF('Rozpocet - Vyvoj aplikacii'!$B$3:$B$179,'TCO TO BE- SW'!P$2,'Rozpocet - Vyvoj aplikacii'!$J$3:$J$179),0),0)</f>
        <v>0</v>
      </c>
      <c r="Q38" s="565">
        <f>IFERROR(IF(VLOOKUP(Q$2,MODULY_CBA!$B$3:$I$23,8,0)=$D38,SUMIF('Rozpocet - Vyvoj aplikacii'!$B$3:$B$179,'TCO TO BE- SW'!Q$2,'Rozpocet - Vyvoj aplikacii'!$J$3:$J$179),0),0)</f>
        <v>0</v>
      </c>
      <c r="R38" s="565">
        <f>IFERROR(IF(VLOOKUP(R$2,MODULY_CBA!$B$3:$I$23,8,0)=$D38,SUMIF('Rozpocet - Vyvoj aplikacii'!$B$3:$B$179,'TCO TO BE- SW'!R$2,'Rozpocet - Vyvoj aplikacii'!$J$3:$J$179),0),0)</f>
        <v>0</v>
      </c>
      <c r="S38" s="565">
        <f>IFERROR(IF(VLOOKUP(S$2,MODULY_CBA!$B$3:$I$23,8,0)=$D38,SUMIF('Rozpocet - Vyvoj aplikacii'!$B$3:$B$179,'TCO TO BE- SW'!S$2,'Rozpocet - Vyvoj aplikacii'!$J$3:$J$179),0),0)</f>
        <v>0</v>
      </c>
      <c r="T38" s="565">
        <f>IFERROR(IF(VLOOKUP(T$2,MODULY_CBA!$B$3:$I$23,8,0)=$D38,SUMIF('Rozpocet - Vyvoj aplikacii'!$B$3:$B$179,'TCO TO BE- SW'!T$2,'Rozpocet - Vyvoj aplikacii'!$J$3:$J$179),0),0)</f>
        <v>0</v>
      </c>
      <c r="U38" s="565">
        <f>IFERROR(IF(VLOOKUP(U$2,MODULY_CBA!$B$3:$I$23,8,0)=$D38,SUMIF('Rozpocet - Vyvoj aplikacii'!$B$3:$B$179,'TCO TO BE- SW'!U$2,'Rozpocet - Vyvoj aplikacii'!$J$3:$J$179),0),0)</f>
        <v>0</v>
      </c>
      <c r="V38" s="565">
        <f>IFERROR(IF(VLOOKUP(V$2,MODULY_CBA!$B$3:$I$23,8,0)=$D38,SUMIF('Rozpocet - Vyvoj aplikacii'!$B$3:$B$179,'TCO TO BE- SW'!V$2,'Rozpocet - Vyvoj aplikacii'!$J$3:$J$179),0),0)</f>
        <v>0</v>
      </c>
      <c r="W38" s="565">
        <f>IFERROR(IF(VLOOKUP(W$2,MODULY_CBA!$B$3:$I$23,8,0)=$D38,SUMIF('Rozpocet - Vyvoj aplikacii'!$B$3:$B$179,'TCO TO BE- SW'!W$2,'Rozpocet - Vyvoj aplikacii'!$J$3:$J$179),0),0)</f>
        <v>0</v>
      </c>
      <c r="X38" s="565">
        <f>IFERROR(IF(VLOOKUP(X$2,MODULY_CBA!$B$3:$I$23,8,0)=$D38,SUMIF('Rozpocet - Vyvoj aplikacii'!$B$3:$B$179,'TCO TO BE- SW'!X$2,'Rozpocet - Vyvoj aplikacii'!$J$3:$J$179),0),0)</f>
        <v>0</v>
      </c>
      <c r="Y38" s="565">
        <f>IFERROR(IF(VLOOKUP(Y$2,MODULY_CBA!$B$3:$I$23,8,0)=$D38,SUMIF('Rozpocet - Vyvoj aplikacii'!$B$3:$B$179,'TCO TO BE- SW'!Y$2,'Rozpocet - Vyvoj aplikacii'!$J$3:$J$179),0),0)</f>
        <v>0</v>
      </c>
      <c r="Z38" s="565">
        <f>IFERROR(IF(VLOOKUP(Z$2,MODULY_CBA!$B$3:$I$23,8,0)=$D38,SUMIF('Rozpocet - Vyvoj aplikacii'!$B$3:$B$179,'TCO TO BE- SW'!Z$2,'Rozpocet - Vyvoj aplikacii'!$J$3:$J$179),0),0)</f>
        <v>0</v>
      </c>
    </row>
    <row r="39" spans="1:26" outlineLevel="2">
      <c r="A39" s="807"/>
      <c r="B39" s="808"/>
      <c r="C39" s="808"/>
      <c r="D39" s="64">
        <v>3</v>
      </c>
      <c r="E39" s="68">
        <f t="shared" si="6"/>
        <v>2906305.8360488643</v>
      </c>
      <c r="F39" s="565">
        <f>IFERROR(IF(VLOOKUP(F$2,MODULY_CBA!$B$3:$I$23,8,0)=$D39,SUMIF('Rozpocet - Vyvoj aplikacii'!$B$3:$B$179,'TCO TO BE- SW'!F$2,'Rozpocet - Vyvoj aplikacii'!$J$3:$J$179),0),0)</f>
        <v>0</v>
      </c>
      <c r="G39" s="565">
        <f>IFERROR(IF(VLOOKUP(G$2,MODULY_CBA!$B$3:$I$23,8,0)=$D39,SUMIF('Rozpocet - Vyvoj aplikacii'!$B$3:$B$179,'TCO TO BE- SW'!G$2,'Rozpocet - Vyvoj aplikacii'!$J$3:$J$179),0),0)</f>
        <v>0</v>
      </c>
      <c r="H39" s="565">
        <f>IFERROR(IF(VLOOKUP(H$2,MODULY_CBA!$B$3:$I$23,8,0)=$D39,SUMIF('Rozpocet - Vyvoj aplikacii'!$B$3:$B$179,'TCO TO BE- SW'!H$2,'Rozpocet - Vyvoj aplikacii'!$J$3:$J$179),0),0)</f>
        <v>0</v>
      </c>
      <c r="I39" s="565">
        <f>IFERROR(IF(VLOOKUP(I$2,MODULY_CBA!$B$3:$I$23,8,0)=$D39,SUMIF('Rozpocet - Vyvoj aplikacii'!$B$3:$B$179,'TCO TO BE- SW'!I$2,'Rozpocet - Vyvoj aplikacii'!$J$3:$J$179),0),0)</f>
        <v>0</v>
      </c>
      <c r="J39" s="565">
        <f>IFERROR(IF(VLOOKUP(J$2,MODULY_CBA!$B$3:$I$23,8,0)=$D39,SUMIF('Rozpocet - Vyvoj aplikacii'!$B$3:$B$179,'TCO TO BE- SW'!J$2,'Rozpocet - Vyvoj aplikacii'!$J$3:$J$179),0),0)</f>
        <v>0</v>
      </c>
      <c r="K39" s="565">
        <f>IFERROR(IF(VLOOKUP(K$2,MODULY_CBA!$B$3:$I$23,8,0)=$D39,SUMIF('Rozpocet - Vyvoj aplikacii'!$B$3:$B$179,'TCO TO BE- SW'!K$2,'Rozpocet - Vyvoj aplikacii'!$J$3:$J$179),0),0)</f>
        <v>0</v>
      </c>
      <c r="L39" s="565">
        <f>IFERROR(IF(VLOOKUP(L$2,MODULY_CBA!$B$3:$I$23,8,0)=$D39,SUMIF('Rozpocet - Vyvoj aplikacii'!$B$3:$B$179,'TCO TO BE- SW'!L$2,'Rozpocet - Vyvoj aplikacii'!$J$3:$J$179),0),0)</f>
        <v>0</v>
      </c>
      <c r="M39" s="565">
        <f>IFERROR(IF(VLOOKUP(M$2,MODULY_CBA!$B$3:$I$23,8,0)=$D39,SUMIF('Rozpocet - Vyvoj aplikacii'!$B$3:$B$179,'TCO TO BE- SW'!M$2,'Rozpocet - Vyvoj aplikacii'!$J$3:$J$179),0),0)</f>
        <v>0</v>
      </c>
      <c r="N39" s="565">
        <f>IFERROR(IF(VLOOKUP(N$2,MODULY_CBA!$B$3:$I$23,8,0)=$D39,SUMIF('Rozpocet - Vyvoj aplikacii'!$B$3:$B$179,'TCO TO BE- SW'!N$2,'Rozpocet - Vyvoj aplikacii'!$J$3:$J$179),0),0)</f>
        <v>0</v>
      </c>
      <c r="O39" s="565">
        <f>IFERROR(IF(VLOOKUP(O$2,MODULY_CBA!$B$3:$I$23,8,0)=$D39,SUMIF('Rozpocet - Vyvoj aplikacii'!$B$3:$B$179,'TCO TO BE- SW'!O$2,'Rozpocet - Vyvoj aplikacii'!$J$3:$J$179),0),0)</f>
        <v>363356.52960565797</v>
      </c>
      <c r="P39" s="565">
        <f>IFERROR(IF(VLOOKUP(P$2,MODULY_CBA!$B$3:$I$23,8,0)=$D39,SUMIF('Rozpocet - Vyvoj aplikacii'!$B$3:$B$179,'TCO TO BE- SW'!P$2,'Rozpocet - Vyvoj aplikacii'!$J$3:$J$179),0),0)</f>
        <v>282489.21173853404</v>
      </c>
      <c r="Q39" s="565">
        <f>IFERROR(IF(VLOOKUP(Q$2,MODULY_CBA!$B$3:$I$23,8,0)=$D39,SUMIF('Rozpocet - Vyvoj aplikacii'!$B$3:$B$179,'TCO TO BE- SW'!Q$2,'Rozpocet - Vyvoj aplikacii'!$J$3:$J$179),0),0)</f>
        <v>201621.89387141023</v>
      </c>
      <c r="R39" s="565">
        <f>IFERROR(IF(VLOOKUP(R$2,MODULY_CBA!$B$3:$I$23,8,0)=$D39,SUMIF('Rozpocet - Vyvoj aplikacii'!$B$3:$B$179,'TCO TO BE- SW'!R$2,'Rozpocet - Vyvoj aplikacii'!$J$3:$J$179),0),0)</f>
        <v>201621.89387141023</v>
      </c>
      <c r="S39" s="565">
        <f>IFERROR(IF(VLOOKUP(S$2,MODULY_CBA!$B$3:$I$23,8,0)=$D39,SUMIF('Rozpocet - Vyvoj aplikacii'!$B$3:$B$179,'TCO TO BE- SW'!S$2,'Rozpocet - Vyvoj aplikacii'!$J$3:$J$179),0),0)</f>
        <v>302706.04120531498</v>
      </c>
      <c r="T39" s="565">
        <f>IFERROR(IF(VLOOKUP(T$2,MODULY_CBA!$B$3:$I$23,8,0)=$D39,SUMIF('Rozpocet - Vyvoj aplikacii'!$B$3:$B$179,'TCO TO BE- SW'!T$2,'Rozpocet - Vyvoj aplikacii'!$J$3:$J$179),0),0)</f>
        <v>343139.70013887697</v>
      </c>
      <c r="U39" s="565">
        <f>IFERROR(IF(VLOOKUP(U$2,MODULY_CBA!$B$3:$I$23,8,0)=$D39,SUMIF('Rozpocet - Vyvoj aplikacii'!$B$3:$B$179,'TCO TO BE- SW'!U$2,'Rozpocet - Vyvoj aplikacii'!$J$3:$J$179),0),0)</f>
        <v>322922.87067209597</v>
      </c>
      <c r="V39" s="565">
        <f>IFERROR(IF(VLOOKUP(V$2,MODULY_CBA!$B$3:$I$23,8,0)=$D39,SUMIF('Rozpocet - Vyvoj aplikacii'!$B$3:$B$179,'TCO TO BE- SW'!V$2,'Rozpocet - Vyvoj aplikacii'!$J$3:$J$179),0),0)</f>
        <v>161734.63573424774</v>
      </c>
      <c r="W39" s="565">
        <f>IFERROR(IF(VLOOKUP(W$2,MODULY_CBA!$B$3:$I$23,8,0)=$D39,SUMIF('Rozpocet - Vyvoj aplikacii'!$B$3:$B$179,'TCO TO BE- SW'!W$2,'Rozpocet - Vyvoj aplikacii'!$J$3:$J$179),0),0)</f>
        <v>282489.21173853404</v>
      </c>
      <c r="X39" s="565">
        <f>IFERROR(IF(VLOOKUP(X$2,MODULY_CBA!$B$3:$I$23,8,0)=$D39,SUMIF('Rozpocet - Vyvoj aplikacii'!$B$3:$B$179,'TCO TO BE- SW'!X$2,'Rozpocet - Vyvoj aplikacii'!$J$3:$J$179),0),0)</f>
        <v>322922.87067209597</v>
      </c>
      <c r="Y39" s="565">
        <f>IFERROR(IF(VLOOKUP(Y$2,MODULY_CBA!$B$3:$I$23,8,0)=$D39,SUMIF('Rozpocet - Vyvoj aplikacii'!$B$3:$B$179,'TCO TO BE- SW'!Y$2,'Rozpocet - Vyvoj aplikacii'!$J$3:$J$179),0),0)</f>
        <v>121300.97680068581</v>
      </c>
      <c r="Z39" s="565">
        <f>IFERROR(IF(VLOOKUP(Z$2,MODULY_CBA!$B$3:$I$23,8,0)=$D39,SUMIF('Rozpocet - Vyvoj aplikacii'!$B$3:$B$179,'TCO TO BE- SW'!Z$2,'Rozpocet - Vyvoj aplikacii'!$J$3:$J$179),0),0)</f>
        <v>0</v>
      </c>
    </row>
    <row r="40" spans="1:26" outlineLevel="2">
      <c r="A40" s="807"/>
      <c r="B40" s="808"/>
      <c r="C40" s="808"/>
      <c r="D40" s="64">
        <v>4</v>
      </c>
      <c r="E40" s="68">
        <f t="shared" si="6"/>
        <v>0</v>
      </c>
      <c r="F40" s="565">
        <f>IFERROR(IF(VLOOKUP(F$2,MODULY_CBA!$B$3:$I$23,8,0)=$D40,SUMIF('Rozpocet - Vyvoj aplikacii'!$B$3:$B$179,'TCO TO BE- SW'!F$2,'Rozpocet - Vyvoj aplikacii'!$J$3:$J$179),0),0)</f>
        <v>0</v>
      </c>
      <c r="G40" s="565">
        <f>IFERROR(IF(VLOOKUP(G$2,MODULY_CBA!$B$3:$I$23,8,0)=$D40,SUMIF('Rozpocet - Vyvoj aplikacii'!$B$3:$B$179,'TCO TO BE- SW'!G$2,'Rozpocet - Vyvoj aplikacii'!$J$3:$J$179),0),0)</f>
        <v>0</v>
      </c>
      <c r="H40" s="565">
        <f>IFERROR(IF(VLOOKUP(H$2,MODULY_CBA!$B$3:$I$23,8,0)=$D40,SUMIF('Rozpocet - Vyvoj aplikacii'!$B$3:$B$179,'TCO TO BE- SW'!H$2,'Rozpocet - Vyvoj aplikacii'!$J$3:$J$179),0),0)</f>
        <v>0</v>
      </c>
      <c r="I40" s="565">
        <f>IFERROR(IF(VLOOKUP(I$2,MODULY_CBA!$B$3:$I$23,8,0)=$D40,SUMIF('Rozpocet - Vyvoj aplikacii'!$B$3:$B$179,'TCO TO BE- SW'!I$2,'Rozpocet - Vyvoj aplikacii'!$J$3:$J$179),0),0)</f>
        <v>0</v>
      </c>
      <c r="J40" s="565">
        <f>IFERROR(IF(VLOOKUP(J$2,MODULY_CBA!$B$3:$I$23,8,0)=$D40,SUMIF('Rozpocet - Vyvoj aplikacii'!$B$3:$B$179,'TCO TO BE- SW'!J$2,'Rozpocet - Vyvoj aplikacii'!$J$3:$J$179),0),0)</f>
        <v>0</v>
      </c>
      <c r="K40" s="565">
        <f>IFERROR(IF(VLOOKUP(K$2,MODULY_CBA!$B$3:$I$23,8,0)=$D40,SUMIF('Rozpocet - Vyvoj aplikacii'!$B$3:$B$179,'TCO TO BE- SW'!K$2,'Rozpocet - Vyvoj aplikacii'!$J$3:$J$179),0),0)</f>
        <v>0</v>
      </c>
      <c r="L40" s="565">
        <f>IFERROR(IF(VLOOKUP(L$2,MODULY_CBA!$B$3:$I$23,8,0)=$D40,SUMIF('Rozpocet - Vyvoj aplikacii'!$B$3:$B$179,'TCO TO BE- SW'!L$2,'Rozpocet - Vyvoj aplikacii'!$J$3:$J$179),0),0)</f>
        <v>0</v>
      </c>
      <c r="M40" s="565">
        <f>IFERROR(IF(VLOOKUP(M$2,MODULY_CBA!$B$3:$I$23,8,0)=$D40,SUMIF('Rozpocet - Vyvoj aplikacii'!$B$3:$B$179,'TCO TO BE- SW'!M$2,'Rozpocet - Vyvoj aplikacii'!$J$3:$J$179),0),0)</f>
        <v>0</v>
      </c>
      <c r="N40" s="565">
        <f>IFERROR(IF(VLOOKUP(N$2,MODULY_CBA!$B$3:$I$23,8,0)=$D40,SUMIF('Rozpocet - Vyvoj aplikacii'!$B$3:$B$179,'TCO TO BE- SW'!N$2,'Rozpocet - Vyvoj aplikacii'!$J$3:$J$179),0),0)</f>
        <v>0</v>
      </c>
      <c r="O40" s="565">
        <f>IFERROR(IF(VLOOKUP(O$2,MODULY_CBA!$B$3:$I$23,8,0)=$D40,SUMIF('Rozpocet - Vyvoj aplikacii'!$B$3:$B$179,'TCO TO BE- SW'!O$2,'Rozpocet - Vyvoj aplikacii'!$J$3:$J$179),0),0)</f>
        <v>0</v>
      </c>
      <c r="P40" s="565">
        <f>IFERROR(IF(VLOOKUP(P$2,MODULY_CBA!$B$3:$I$23,8,0)=$D40,SUMIF('Rozpocet - Vyvoj aplikacii'!$B$3:$B$179,'TCO TO BE- SW'!P$2,'Rozpocet - Vyvoj aplikacii'!$J$3:$J$179),0),0)</f>
        <v>0</v>
      </c>
      <c r="Q40" s="565">
        <f>IFERROR(IF(VLOOKUP(Q$2,MODULY_CBA!$B$3:$I$23,8,0)=$D40,SUMIF('Rozpocet - Vyvoj aplikacii'!$B$3:$B$179,'TCO TO BE- SW'!Q$2,'Rozpocet - Vyvoj aplikacii'!$J$3:$J$179),0),0)</f>
        <v>0</v>
      </c>
      <c r="R40" s="565">
        <f>IFERROR(IF(VLOOKUP(R$2,MODULY_CBA!$B$3:$I$23,8,0)=$D40,SUMIF('Rozpocet - Vyvoj aplikacii'!$B$3:$B$179,'TCO TO BE- SW'!R$2,'Rozpocet - Vyvoj aplikacii'!$J$3:$J$179),0),0)</f>
        <v>0</v>
      </c>
      <c r="S40" s="565">
        <f>IFERROR(IF(VLOOKUP(S$2,MODULY_CBA!$B$3:$I$23,8,0)=$D40,SUMIF('Rozpocet - Vyvoj aplikacii'!$B$3:$B$179,'TCO TO BE- SW'!S$2,'Rozpocet - Vyvoj aplikacii'!$J$3:$J$179),0),0)</f>
        <v>0</v>
      </c>
      <c r="T40" s="565">
        <f>IFERROR(IF(VLOOKUP(T$2,MODULY_CBA!$B$3:$I$23,8,0)=$D40,SUMIF('Rozpocet - Vyvoj aplikacii'!$B$3:$B$179,'TCO TO BE- SW'!T$2,'Rozpocet - Vyvoj aplikacii'!$J$3:$J$179),0),0)</f>
        <v>0</v>
      </c>
      <c r="U40" s="565">
        <f>IFERROR(IF(VLOOKUP(U$2,MODULY_CBA!$B$3:$I$23,8,0)=$D40,SUMIF('Rozpocet - Vyvoj aplikacii'!$B$3:$B$179,'TCO TO BE- SW'!U$2,'Rozpocet - Vyvoj aplikacii'!$J$3:$J$179),0),0)</f>
        <v>0</v>
      </c>
      <c r="V40" s="565">
        <f>IFERROR(IF(VLOOKUP(V$2,MODULY_CBA!$B$3:$I$23,8,0)=$D40,SUMIF('Rozpocet - Vyvoj aplikacii'!$B$3:$B$179,'TCO TO BE- SW'!V$2,'Rozpocet - Vyvoj aplikacii'!$J$3:$J$179),0),0)</f>
        <v>0</v>
      </c>
      <c r="W40" s="565">
        <f>IFERROR(IF(VLOOKUP(W$2,MODULY_CBA!$B$3:$I$23,8,0)=$D40,SUMIF('Rozpocet - Vyvoj aplikacii'!$B$3:$B$179,'TCO TO BE- SW'!W$2,'Rozpocet - Vyvoj aplikacii'!$J$3:$J$179),0),0)</f>
        <v>0</v>
      </c>
      <c r="X40" s="565">
        <f>IFERROR(IF(VLOOKUP(X$2,MODULY_CBA!$B$3:$I$23,8,0)=$D40,SUMIF('Rozpocet - Vyvoj aplikacii'!$B$3:$B$179,'TCO TO BE- SW'!X$2,'Rozpocet - Vyvoj aplikacii'!$J$3:$J$179),0),0)</f>
        <v>0</v>
      </c>
      <c r="Y40" s="565">
        <f>IFERROR(IF(VLOOKUP(Y$2,MODULY_CBA!$B$3:$I$23,8,0)=$D40,SUMIF('Rozpocet - Vyvoj aplikacii'!$B$3:$B$179,'TCO TO BE- SW'!Y$2,'Rozpocet - Vyvoj aplikacii'!$J$3:$J$179),0),0)</f>
        <v>0</v>
      </c>
      <c r="Z40" s="565">
        <f>IFERROR(IF(VLOOKUP(Z$2,MODULY_CBA!$B$3:$I$23,8,0)=$D40,SUMIF('Rozpocet - Vyvoj aplikacii'!$B$3:$B$179,'TCO TO BE- SW'!Z$2,'Rozpocet - Vyvoj aplikacii'!$J$3:$J$179),0),0)</f>
        <v>0</v>
      </c>
    </row>
    <row r="41" spans="1:26" outlineLevel="2">
      <c r="A41" s="807"/>
      <c r="B41" s="808"/>
      <c r="C41" s="808"/>
      <c r="D41" s="64">
        <v>5</v>
      </c>
      <c r="E41" s="68">
        <f t="shared" si="6"/>
        <v>0</v>
      </c>
      <c r="F41" s="565">
        <f>IFERROR(IF(VLOOKUP(F$2,MODULY_CBA!$B$3:$I$23,8,0)=$D41,SUMIF('Rozpocet - Vyvoj aplikacii'!$B$3:$B$179,'TCO TO BE- SW'!F$2,'Rozpocet - Vyvoj aplikacii'!$J$3:$J$179),0),0)</f>
        <v>0</v>
      </c>
      <c r="G41" s="565">
        <f>IFERROR(IF(VLOOKUP(G$2,MODULY_CBA!$B$3:$I$23,8,0)=$D41,SUMIF('Rozpocet - Vyvoj aplikacii'!$B$3:$B$179,'TCO TO BE- SW'!G$2,'Rozpocet - Vyvoj aplikacii'!$J$3:$J$179),0),0)</f>
        <v>0</v>
      </c>
      <c r="H41" s="565">
        <f>IFERROR(IF(VLOOKUP(H$2,MODULY_CBA!$B$3:$I$23,8,0)=$D41,SUMIF('Rozpocet - Vyvoj aplikacii'!$B$3:$B$179,'TCO TO BE- SW'!H$2,'Rozpocet - Vyvoj aplikacii'!$J$3:$J$179),0),0)</f>
        <v>0</v>
      </c>
      <c r="I41" s="565">
        <f>IFERROR(IF(VLOOKUP(I$2,MODULY_CBA!$B$3:$I$23,8,0)=$D41,SUMIF('Rozpocet - Vyvoj aplikacii'!$B$3:$B$179,'TCO TO BE- SW'!I$2,'Rozpocet - Vyvoj aplikacii'!$J$3:$J$179),0),0)</f>
        <v>0</v>
      </c>
      <c r="J41" s="565">
        <f>IFERROR(IF(VLOOKUP(J$2,MODULY_CBA!$B$3:$I$23,8,0)=$D41,SUMIF('Rozpocet - Vyvoj aplikacii'!$B$3:$B$179,'TCO TO BE- SW'!J$2,'Rozpocet - Vyvoj aplikacii'!$J$3:$J$179),0),0)</f>
        <v>0</v>
      </c>
      <c r="K41" s="565">
        <f>IFERROR(IF(VLOOKUP(K$2,MODULY_CBA!$B$3:$I$23,8,0)=$D41,SUMIF('Rozpocet - Vyvoj aplikacii'!$B$3:$B$179,'TCO TO BE- SW'!K$2,'Rozpocet - Vyvoj aplikacii'!$J$3:$J$179),0),0)</f>
        <v>0</v>
      </c>
      <c r="L41" s="565">
        <f>IFERROR(IF(VLOOKUP(L$2,MODULY_CBA!$B$3:$I$23,8,0)=$D41,SUMIF('Rozpocet - Vyvoj aplikacii'!$B$3:$B$179,'TCO TO BE- SW'!L$2,'Rozpocet - Vyvoj aplikacii'!$J$3:$J$179),0),0)</f>
        <v>0</v>
      </c>
      <c r="M41" s="565">
        <f>IFERROR(IF(VLOOKUP(M$2,MODULY_CBA!$B$3:$I$23,8,0)=$D41,SUMIF('Rozpocet - Vyvoj aplikacii'!$B$3:$B$179,'TCO TO BE- SW'!M$2,'Rozpocet - Vyvoj aplikacii'!$J$3:$J$179),0),0)</f>
        <v>0</v>
      </c>
      <c r="N41" s="565">
        <f>IFERROR(IF(VLOOKUP(N$2,MODULY_CBA!$B$3:$I$23,8,0)=$D41,SUMIF('Rozpocet - Vyvoj aplikacii'!$B$3:$B$179,'TCO TO BE- SW'!N$2,'Rozpocet - Vyvoj aplikacii'!$J$3:$J$179),0),0)</f>
        <v>0</v>
      </c>
      <c r="O41" s="565">
        <f>IFERROR(IF(VLOOKUP(O$2,MODULY_CBA!$B$3:$I$23,8,0)=$D41,SUMIF('Rozpocet - Vyvoj aplikacii'!$B$3:$B$179,'TCO TO BE- SW'!O$2,'Rozpocet - Vyvoj aplikacii'!$J$3:$J$179),0),0)</f>
        <v>0</v>
      </c>
      <c r="P41" s="565">
        <f>IFERROR(IF(VLOOKUP(P$2,MODULY_CBA!$B$3:$I$23,8,0)=$D41,SUMIF('Rozpocet - Vyvoj aplikacii'!$B$3:$B$179,'TCO TO BE- SW'!P$2,'Rozpocet - Vyvoj aplikacii'!$J$3:$J$179),0),0)</f>
        <v>0</v>
      </c>
      <c r="Q41" s="565">
        <f>IFERROR(IF(VLOOKUP(Q$2,MODULY_CBA!$B$3:$I$23,8,0)=$D41,SUMIF('Rozpocet - Vyvoj aplikacii'!$B$3:$B$179,'TCO TO BE- SW'!Q$2,'Rozpocet - Vyvoj aplikacii'!$J$3:$J$179),0),0)</f>
        <v>0</v>
      </c>
      <c r="R41" s="565">
        <f>IFERROR(IF(VLOOKUP(R$2,MODULY_CBA!$B$3:$I$23,8,0)=$D41,SUMIF('Rozpocet - Vyvoj aplikacii'!$B$3:$B$179,'TCO TO BE- SW'!R$2,'Rozpocet - Vyvoj aplikacii'!$J$3:$J$179),0),0)</f>
        <v>0</v>
      </c>
      <c r="S41" s="565">
        <f>IFERROR(IF(VLOOKUP(S$2,MODULY_CBA!$B$3:$I$23,8,0)=$D41,SUMIF('Rozpocet - Vyvoj aplikacii'!$B$3:$B$179,'TCO TO BE- SW'!S$2,'Rozpocet - Vyvoj aplikacii'!$J$3:$J$179),0),0)</f>
        <v>0</v>
      </c>
      <c r="T41" s="565">
        <f>IFERROR(IF(VLOOKUP(T$2,MODULY_CBA!$B$3:$I$23,8,0)=$D41,SUMIF('Rozpocet - Vyvoj aplikacii'!$B$3:$B$179,'TCO TO BE- SW'!T$2,'Rozpocet - Vyvoj aplikacii'!$J$3:$J$179),0),0)</f>
        <v>0</v>
      </c>
      <c r="U41" s="565">
        <f>IFERROR(IF(VLOOKUP(U$2,MODULY_CBA!$B$3:$I$23,8,0)=$D41,SUMIF('Rozpocet - Vyvoj aplikacii'!$B$3:$B$179,'TCO TO BE- SW'!U$2,'Rozpocet - Vyvoj aplikacii'!$J$3:$J$179),0),0)</f>
        <v>0</v>
      </c>
      <c r="V41" s="565">
        <f>IFERROR(IF(VLOOKUP(V$2,MODULY_CBA!$B$3:$I$23,8,0)=$D41,SUMIF('Rozpocet - Vyvoj aplikacii'!$B$3:$B$179,'TCO TO BE- SW'!V$2,'Rozpocet - Vyvoj aplikacii'!$J$3:$J$179),0),0)</f>
        <v>0</v>
      </c>
      <c r="W41" s="565">
        <f>IFERROR(IF(VLOOKUP(W$2,MODULY_CBA!$B$3:$I$23,8,0)=$D41,SUMIF('Rozpocet - Vyvoj aplikacii'!$B$3:$B$179,'TCO TO BE- SW'!W$2,'Rozpocet - Vyvoj aplikacii'!$J$3:$J$179),0),0)</f>
        <v>0</v>
      </c>
      <c r="X41" s="565">
        <f>IFERROR(IF(VLOOKUP(X$2,MODULY_CBA!$B$3:$I$23,8,0)=$D41,SUMIF('Rozpocet - Vyvoj aplikacii'!$B$3:$B$179,'TCO TO BE- SW'!X$2,'Rozpocet - Vyvoj aplikacii'!$J$3:$J$179),0),0)</f>
        <v>0</v>
      </c>
      <c r="Y41" s="565">
        <f>IFERROR(IF(VLOOKUP(Y$2,MODULY_CBA!$B$3:$I$23,8,0)=$D41,SUMIF('Rozpocet - Vyvoj aplikacii'!$B$3:$B$179,'TCO TO BE- SW'!Y$2,'Rozpocet - Vyvoj aplikacii'!$J$3:$J$179),0),0)</f>
        <v>0</v>
      </c>
      <c r="Z41" s="565">
        <f>IFERROR(IF(VLOOKUP(Z$2,MODULY_CBA!$B$3:$I$23,8,0)=$D41,SUMIF('Rozpocet - Vyvoj aplikacii'!$B$3:$B$179,'TCO TO BE- SW'!Z$2,'Rozpocet - Vyvoj aplikacii'!$J$3:$J$179),0),0)</f>
        <v>0</v>
      </c>
    </row>
    <row r="42" spans="1:26" outlineLevel="2">
      <c r="A42" s="807"/>
      <c r="B42" s="808"/>
      <c r="C42" s="808"/>
      <c r="D42" s="64">
        <v>6</v>
      </c>
      <c r="E42" s="68">
        <f t="shared" si="6"/>
        <v>0</v>
      </c>
      <c r="F42" s="565">
        <f>IFERROR(IF(VLOOKUP(F$2,MODULY_CBA!$B$3:$I$23,8,0)=$D42,SUMIF('Rozpocet - Vyvoj aplikacii'!$B$3:$B$179,'TCO TO BE- SW'!F$2,'Rozpocet - Vyvoj aplikacii'!$J$3:$J$179),0),0)</f>
        <v>0</v>
      </c>
      <c r="G42" s="565">
        <f>IFERROR(IF(VLOOKUP(G$2,MODULY_CBA!$B$3:$I$23,8,0)=$D42,SUMIF('Rozpocet - Vyvoj aplikacii'!$B$3:$B$179,'TCO TO BE- SW'!G$2,'Rozpocet - Vyvoj aplikacii'!$J$3:$J$179),0),0)</f>
        <v>0</v>
      </c>
      <c r="H42" s="565">
        <f>IFERROR(IF(VLOOKUP(H$2,MODULY_CBA!$B$3:$I$23,8,0)=$D42,SUMIF('Rozpocet - Vyvoj aplikacii'!$B$3:$B$179,'TCO TO BE- SW'!H$2,'Rozpocet - Vyvoj aplikacii'!$J$3:$J$179),0),0)</f>
        <v>0</v>
      </c>
      <c r="I42" s="565">
        <f>IFERROR(IF(VLOOKUP(I$2,MODULY_CBA!$B$3:$I$23,8,0)=$D42,SUMIF('Rozpocet - Vyvoj aplikacii'!$B$3:$B$179,'TCO TO BE- SW'!I$2,'Rozpocet - Vyvoj aplikacii'!$J$3:$J$179),0),0)</f>
        <v>0</v>
      </c>
      <c r="J42" s="565">
        <f>IFERROR(IF(VLOOKUP(J$2,MODULY_CBA!$B$3:$I$23,8,0)=$D42,SUMIF('Rozpocet - Vyvoj aplikacii'!$B$3:$B$179,'TCO TO BE- SW'!J$2,'Rozpocet - Vyvoj aplikacii'!$J$3:$J$179),0),0)</f>
        <v>0</v>
      </c>
      <c r="K42" s="565">
        <f>IFERROR(IF(VLOOKUP(K$2,MODULY_CBA!$B$3:$I$23,8,0)=$D42,SUMIF('Rozpocet - Vyvoj aplikacii'!$B$3:$B$179,'TCO TO BE- SW'!K$2,'Rozpocet - Vyvoj aplikacii'!$J$3:$J$179),0),0)</f>
        <v>0</v>
      </c>
      <c r="L42" s="565">
        <f>IFERROR(IF(VLOOKUP(L$2,MODULY_CBA!$B$3:$I$23,8,0)=$D42,SUMIF('Rozpocet - Vyvoj aplikacii'!$B$3:$B$179,'TCO TO BE- SW'!L$2,'Rozpocet - Vyvoj aplikacii'!$J$3:$J$179),0),0)</f>
        <v>0</v>
      </c>
      <c r="M42" s="565">
        <f>IFERROR(IF(VLOOKUP(M$2,MODULY_CBA!$B$3:$I$23,8,0)=$D42,SUMIF('Rozpocet - Vyvoj aplikacii'!$B$3:$B$179,'TCO TO BE- SW'!M$2,'Rozpocet - Vyvoj aplikacii'!$J$3:$J$179),0),0)</f>
        <v>0</v>
      </c>
      <c r="N42" s="565">
        <f>IFERROR(IF(VLOOKUP(N$2,MODULY_CBA!$B$3:$I$23,8,0)=$D42,SUMIF('Rozpocet - Vyvoj aplikacii'!$B$3:$B$179,'TCO TO BE- SW'!N$2,'Rozpocet - Vyvoj aplikacii'!$J$3:$J$179),0),0)</f>
        <v>0</v>
      </c>
      <c r="O42" s="565">
        <f>IFERROR(IF(VLOOKUP(O$2,MODULY_CBA!$B$3:$I$23,8,0)=$D42,SUMIF('Rozpocet - Vyvoj aplikacii'!$B$3:$B$179,'TCO TO BE- SW'!O$2,'Rozpocet - Vyvoj aplikacii'!$J$3:$J$179),0),0)</f>
        <v>0</v>
      </c>
      <c r="P42" s="565">
        <f>IFERROR(IF(VLOOKUP(P$2,MODULY_CBA!$B$3:$I$23,8,0)=$D42,SUMIF('Rozpocet - Vyvoj aplikacii'!$B$3:$B$179,'TCO TO BE- SW'!P$2,'Rozpocet - Vyvoj aplikacii'!$J$3:$J$179),0),0)</f>
        <v>0</v>
      </c>
      <c r="Q42" s="565">
        <f>IFERROR(IF(VLOOKUP(Q$2,MODULY_CBA!$B$3:$I$23,8,0)=$D42,SUMIF('Rozpocet - Vyvoj aplikacii'!$B$3:$B$179,'TCO TO BE- SW'!Q$2,'Rozpocet - Vyvoj aplikacii'!$J$3:$J$179),0),0)</f>
        <v>0</v>
      </c>
      <c r="R42" s="565">
        <f>IFERROR(IF(VLOOKUP(R$2,MODULY_CBA!$B$3:$I$23,8,0)=$D42,SUMIF('Rozpocet - Vyvoj aplikacii'!$B$3:$B$179,'TCO TO BE- SW'!R$2,'Rozpocet - Vyvoj aplikacii'!$J$3:$J$179),0),0)</f>
        <v>0</v>
      </c>
      <c r="S42" s="565">
        <f>IFERROR(IF(VLOOKUP(S$2,MODULY_CBA!$B$3:$I$23,8,0)=$D42,SUMIF('Rozpocet - Vyvoj aplikacii'!$B$3:$B$179,'TCO TO BE- SW'!S$2,'Rozpocet - Vyvoj aplikacii'!$J$3:$J$179),0),0)</f>
        <v>0</v>
      </c>
      <c r="T42" s="565">
        <f>IFERROR(IF(VLOOKUP(T$2,MODULY_CBA!$B$3:$I$23,8,0)=$D42,SUMIF('Rozpocet - Vyvoj aplikacii'!$B$3:$B$179,'TCO TO BE- SW'!T$2,'Rozpocet - Vyvoj aplikacii'!$J$3:$J$179),0),0)</f>
        <v>0</v>
      </c>
      <c r="U42" s="565">
        <f>IFERROR(IF(VLOOKUP(U$2,MODULY_CBA!$B$3:$I$23,8,0)=$D42,SUMIF('Rozpocet - Vyvoj aplikacii'!$B$3:$B$179,'TCO TO BE- SW'!U$2,'Rozpocet - Vyvoj aplikacii'!$J$3:$J$179),0),0)</f>
        <v>0</v>
      </c>
      <c r="V42" s="565">
        <f>IFERROR(IF(VLOOKUP(V$2,MODULY_CBA!$B$3:$I$23,8,0)=$D42,SUMIF('Rozpocet - Vyvoj aplikacii'!$B$3:$B$179,'TCO TO BE- SW'!V$2,'Rozpocet - Vyvoj aplikacii'!$J$3:$J$179),0),0)</f>
        <v>0</v>
      </c>
      <c r="W42" s="565">
        <f>IFERROR(IF(VLOOKUP(W$2,MODULY_CBA!$B$3:$I$23,8,0)=$D42,SUMIF('Rozpocet - Vyvoj aplikacii'!$B$3:$B$179,'TCO TO BE- SW'!W$2,'Rozpocet - Vyvoj aplikacii'!$J$3:$J$179),0),0)</f>
        <v>0</v>
      </c>
      <c r="X42" s="565">
        <f>IFERROR(IF(VLOOKUP(X$2,MODULY_CBA!$B$3:$I$23,8,0)=$D42,SUMIF('Rozpocet - Vyvoj aplikacii'!$B$3:$B$179,'TCO TO BE- SW'!X$2,'Rozpocet - Vyvoj aplikacii'!$J$3:$J$179),0),0)</f>
        <v>0</v>
      </c>
      <c r="Y42" s="565">
        <f>IFERROR(IF(VLOOKUP(Y$2,MODULY_CBA!$B$3:$I$23,8,0)=$D42,SUMIF('Rozpocet - Vyvoj aplikacii'!$B$3:$B$179,'TCO TO BE- SW'!Y$2,'Rozpocet - Vyvoj aplikacii'!$J$3:$J$179),0),0)</f>
        <v>0</v>
      </c>
      <c r="Z42" s="565">
        <f>IFERROR(IF(VLOOKUP(Z$2,MODULY_CBA!$B$3:$I$23,8,0)=$D42,SUMIF('Rozpocet - Vyvoj aplikacii'!$B$3:$B$179,'TCO TO BE- SW'!Z$2,'Rozpocet - Vyvoj aplikacii'!$J$3:$J$179),0),0)</f>
        <v>0</v>
      </c>
    </row>
    <row r="43" spans="1:26" outlineLevel="2">
      <c r="A43" s="807"/>
      <c r="B43" s="808"/>
      <c r="C43" s="808"/>
      <c r="D43" s="64">
        <v>7</v>
      </c>
      <c r="E43" s="68">
        <f t="shared" si="6"/>
        <v>0</v>
      </c>
      <c r="F43" s="565">
        <f>IFERROR(IF(VLOOKUP(F$2,MODULY_CBA!$B$3:$I$23,8,0)=$D43,SUMIF('Rozpocet - Vyvoj aplikacii'!$B$3:$B$179,'TCO TO BE- SW'!F$2,'Rozpocet - Vyvoj aplikacii'!$J$3:$J$179),0),0)</f>
        <v>0</v>
      </c>
      <c r="G43" s="565">
        <f>IFERROR(IF(VLOOKUP(G$2,MODULY_CBA!$B$3:$I$23,8,0)=$D43,SUMIF('Rozpocet - Vyvoj aplikacii'!$B$3:$B$179,'TCO TO BE- SW'!G$2,'Rozpocet - Vyvoj aplikacii'!$J$3:$J$179),0),0)</f>
        <v>0</v>
      </c>
      <c r="H43" s="565">
        <f>IFERROR(IF(VLOOKUP(H$2,MODULY_CBA!$B$3:$I$23,8,0)=$D43,SUMIF('Rozpocet - Vyvoj aplikacii'!$B$3:$B$179,'TCO TO BE- SW'!H$2,'Rozpocet - Vyvoj aplikacii'!$J$3:$J$179),0),0)</f>
        <v>0</v>
      </c>
      <c r="I43" s="565">
        <f>IFERROR(IF(VLOOKUP(I$2,MODULY_CBA!$B$3:$I$23,8,0)=$D43,SUMIF('Rozpocet - Vyvoj aplikacii'!$B$3:$B$179,'TCO TO BE- SW'!I$2,'Rozpocet - Vyvoj aplikacii'!$J$3:$J$179),0),0)</f>
        <v>0</v>
      </c>
      <c r="J43" s="565">
        <f>IFERROR(IF(VLOOKUP(J$2,MODULY_CBA!$B$3:$I$23,8,0)=$D43,SUMIF('Rozpocet - Vyvoj aplikacii'!$B$3:$B$179,'TCO TO BE- SW'!J$2,'Rozpocet - Vyvoj aplikacii'!$J$3:$J$179),0),0)</f>
        <v>0</v>
      </c>
      <c r="K43" s="565">
        <f>IFERROR(IF(VLOOKUP(K$2,MODULY_CBA!$B$3:$I$23,8,0)=$D43,SUMIF('Rozpocet - Vyvoj aplikacii'!$B$3:$B$179,'TCO TO BE- SW'!K$2,'Rozpocet - Vyvoj aplikacii'!$J$3:$J$179),0),0)</f>
        <v>0</v>
      </c>
      <c r="L43" s="565">
        <f>IFERROR(IF(VLOOKUP(L$2,MODULY_CBA!$B$3:$I$23,8,0)=$D43,SUMIF('Rozpocet - Vyvoj aplikacii'!$B$3:$B$179,'TCO TO BE- SW'!L$2,'Rozpocet - Vyvoj aplikacii'!$J$3:$J$179),0),0)</f>
        <v>0</v>
      </c>
      <c r="M43" s="565">
        <f>IFERROR(IF(VLOOKUP(M$2,MODULY_CBA!$B$3:$I$23,8,0)=$D43,SUMIF('Rozpocet - Vyvoj aplikacii'!$B$3:$B$179,'TCO TO BE- SW'!M$2,'Rozpocet - Vyvoj aplikacii'!$J$3:$J$179),0),0)</f>
        <v>0</v>
      </c>
      <c r="N43" s="565">
        <f>IFERROR(IF(VLOOKUP(N$2,MODULY_CBA!$B$3:$I$23,8,0)=$D43,SUMIF('Rozpocet - Vyvoj aplikacii'!$B$3:$B$179,'TCO TO BE- SW'!N$2,'Rozpocet - Vyvoj aplikacii'!$J$3:$J$179),0),0)</f>
        <v>0</v>
      </c>
      <c r="O43" s="565">
        <f>IFERROR(IF(VLOOKUP(O$2,MODULY_CBA!$B$3:$I$23,8,0)=$D43,SUMIF('Rozpocet - Vyvoj aplikacii'!$B$3:$B$179,'TCO TO BE- SW'!O$2,'Rozpocet - Vyvoj aplikacii'!$J$3:$J$179),0),0)</f>
        <v>0</v>
      </c>
      <c r="P43" s="565">
        <f>IFERROR(IF(VLOOKUP(P$2,MODULY_CBA!$B$3:$I$23,8,0)=$D43,SUMIF('Rozpocet - Vyvoj aplikacii'!$B$3:$B$179,'TCO TO BE- SW'!P$2,'Rozpocet - Vyvoj aplikacii'!$J$3:$J$179),0),0)</f>
        <v>0</v>
      </c>
      <c r="Q43" s="565">
        <f>IFERROR(IF(VLOOKUP(Q$2,MODULY_CBA!$B$3:$I$23,8,0)=$D43,SUMIF('Rozpocet - Vyvoj aplikacii'!$B$3:$B$179,'TCO TO BE- SW'!Q$2,'Rozpocet - Vyvoj aplikacii'!$J$3:$J$179),0),0)</f>
        <v>0</v>
      </c>
      <c r="R43" s="565">
        <f>IFERROR(IF(VLOOKUP(R$2,MODULY_CBA!$B$3:$I$23,8,0)=$D43,SUMIF('Rozpocet - Vyvoj aplikacii'!$B$3:$B$179,'TCO TO BE- SW'!R$2,'Rozpocet - Vyvoj aplikacii'!$J$3:$J$179),0),0)</f>
        <v>0</v>
      </c>
      <c r="S43" s="565">
        <f>IFERROR(IF(VLOOKUP(S$2,MODULY_CBA!$B$3:$I$23,8,0)=$D43,SUMIF('Rozpocet - Vyvoj aplikacii'!$B$3:$B$179,'TCO TO BE- SW'!S$2,'Rozpocet - Vyvoj aplikacii'!$J$3:$J$179),0),0)</f>
        <v>0</v>
      </c>
      <c r="T43" s="565">
        <f>IFERROR(IF(VLOOKUP(T$2,MODULY_CBA!$B$3:$I$23,8,0)=$D43,SUMIF('Rozpocet - Vyvoj aplikacii'!$B$3:$B$179,'TCO TO BE- SW'!T$2,'Rozpocet - Vyvoj aplikacii'!$J$3:$J$179),0),0)</f>
        <v>0</v>
      </c>
      <c r="U43" s="565">
        <f>IFERROR(IF(VLOOKUP(U$2,MODULY_CBA!$B$3:$I$23,8,0)=$D43,SUMIF('Rozpocet - Vyvoj aplikacii'!$B$3:$B$179,'TCO TO BE- SW'!U$2,'Rozpocet - Vyvoj aplikacii'!$J$3:$J$179),0),0)</f>
        <v>0</v>
      </c>
      <c r="V43" s="565">
        <f>IFERROR(IF(VLOOKUP(V$2,MODULY_CBA!$B$3:$I$23,8,0)=$D43,SUMIF('Rozpocet - Vyvoj aplikacii'!$B$3:$B$179,'TCO TO BE- SW'!V$2,'Rozpocet - Vyvoj aplikacii'!$J$3:$J$179),0),0)</f>
        <v>0</v>
      </c>
      <c r="W43" s="565">
        <f>IFERROR(IF(VLOOKUP(W$2,MODULY_CBA!$B$3:$I$23,8,0)=$D43,SUMIF('Rozpocet - Vyvoj aplikacii'!$B$3:$B$179,'TCO TO BE- SW'!W$2,'Rozpocet - Vyvoj aplikacii'!$J$3:$J$179),0),0)</f>
        <v>0</v>
      </c>
      <c r="X43" s="565">
        <f>IFERROR(IF(VLOOKUP(X$2,MODULY_CBA!$B$3:$I$23,8,0)=$D43,SUMIF('Rozpocet - Vyvoj aplikacii'!$B$3:$B$179,'TCO TO BE- SW'!X$2,'Rozpocet - Vyvoj aplikacii'!$J$3:$J$179),0),0)</f>
        <v>0</v>
      </c>
      <c r="Y43" s="565">
        <f>IFERROR(IF(VLOOKUP(Y$2,MODULY_CBA!$B$3:$I$23,8,0)=$D43,SUMIF('Rozpocet - Vyvoj aplikacii'!$B$3:$B$179,'TCO TO BE- SW'!Y$2,'Rozpocet - Vyvoj aplikacii'!$J$3:$J$179),0),0)</f>
        <v>0</v>
      </c>
      <c r="Z43" s="565">
        <f>IFERROR(IF(VLOOKUP(Z$2,MODULY_CBA!$B$3:$I$23,8,0)=$D43,SUMIF('Rozpocet - Vyvoj aplikacii'!$B$3:$B$179,'TCO TO BE- SW'!Z$2,'Rozpocet - Vyvoj aplikacii'!$J$3:$J$179),0),0)</f>
        <v>0</v>
      </c>
    </row>
    <row r="44" spans="1:26" outlineLevel="2">
      <c r="A44" s="807"/>
      <c r="B44" s="808"/>
      <c r="C44" s="808"/>
      <c r="D44" s="64">
        <v>8</v>
      </c>
      <c r="E44" s="68">
        <f t="shared" si="6"/>
        <v>0</v>
      </c>
      <c r="F44" s="565">
        <f>IFERROR(IF(VLOOKUP(F$2,MODULY_CBA!$B$3:$I$23,8,0)=$D44,SUMIF('Rozpocet - Vyvoj aplikacii'!$B$3:$B$179,'TCO TO BE- SW'!F$2,'Rozpocet - Vyvoj aplikacii'!$J$3:$J$179),0),0)</f>
        <v>0</v>
      </c>
      <c r="G44" s="565">
        <f>IFERROR(IF(VLOOKUP(G$2,MODULY_CBA!$B$3:$I$23,8,0)=$D44,SUMIF('Rozpocet - Vyvoj aplikacii'!$B$3:$B$179,'TCO TO BE- SW'!G$2,'Rozpocet - Vyvoj aplikacii'!$J$3:$J$179),0),0)</f>
        <v>0</v>
      </c>
      <c r="H44" s="565">
        <f>IFERROR(IF(VLOOKUP(H$2,MODULY_CBA!$B$3:$I$23,8,0)=$D44,SUMIF('Rozpocet - Vyvoj aplikacii'!$B$3:$B$179,'TCO TO BE- SW'!H$2,'Rozpocet - Vyvoj aplikacii'!$J$3:$J$179),0),0)</f>
        <v>0</v>
      </c>
      <c r="I44" s="565">
        <f>IFERROR(IF(VLOOKUP(I$2,MODULY_CBA!$B$3:$I$23,8,0)=$D44,SUMIF('Rozpocet - Vyvoj aplikacii'!$B$3:$B$179,'TCO TO BE- SW'!I$2,'Rozpocet - Vyvoj aplikacii'!$J$3:$J$179),0),0)</f>
        <v>0</v>
      </c>
      <c r="J44" s="565">
        <f>IFERROR(IF(VLOOKUP(J$2,MODULY_CBA!$B$3:$I$23,8,0)=$D44,SUMIF('Rozpocet - Vyvoj aplikacii'!$B$3:$B$179,'TCO TO BE- SW'!J$2,'Rozpocet - Vyvoj aplikacii'!$J$3:$J$179),0),0)</f>
        <v>0</v>
      </c>
      <c r="K44" s="565">
        <f>IFERROR(IF(VLOOKUP(K$2,MODULY_CBA!$B$3:$I$23,8,0)=$D44,SUMIF('Rozpocet - Vyvoj aplikacii'!$B$3:$B$179,'TCO TO BE- SW'!K$2,'Rozpocet - Vyvoj aplikacii'!$J$3:$J$179),0),0)</f>
        <v>0</v>
      </c>
      <c r="L44" s="565">
        <f>IFERROR(IF(VLOOKUP(L$2,MODULY_CBA!$B$3:$I$23,8,0)=$D44,SUMIF('Rozpocet - Vyvoj aplikacii'!$B$3:$B$179,'TCO TO BE- SW'!L$2,'Rozpocet - Vyvoj aplikacii'!$J$3:$J$179),0),0)</f>
        <v>0</v>
      </c>
      <c r="M44" s="565">
        <f>IFERROR(IF(VLOOKUP(M$2,MODULY_CBA!$B$3:$I$23,8,0)=$D44,SUMIF('Rozpocet - Vyvoj aplikacii'!$B$3:$B$179,'TCO TO BE- SW'!M$2,'Rozpocet - Vyvoj aplikacii'!$J$3:$J$179),0),0)</f>
        <v>0</v>
      </c>
      <c r="N44" s="565">
        <f>IFERROR(IF(VLOOKUP(N$2,MODULY_CBA!$B$3:$I$23,8,0)=$D44,SUMIF('Rozpocet - Vyvoj aplikacii'!$B$3:$B$179,'TCO TO BE- SW'!N$2,'Rozpocet - Vyvoj aplikacii'!$J$3:$J$179),0),0)</f>
        <v>0</v>
      </c>
      <c r="O44" s="565">
        <f>IFERROR(IF(VLOOKUP(O$2,MODULY_CBA!$B$3:$I$23,8,0)=$D44,SUMIF('Rozpocet - Vyvoj aplikacii'!$B$3:$B$179,'TCO TO BE- SW'!O$2,'Rozpocet - Vyvoj aplikacii'!$J$3:$J$179),0),0)</f>
        <v>0</v>
      </c>
      <c r="P44" s="565">
        <f>IFERROR(IF(VLOOKUP(P$2,MODULY_CBA!$B$3:$I$23,8,0)=$D44,SUMIF('Rozpocet - Vyvoj aplikacii'!$B$3:$B$179,'TCO TO BE- SW'!P$2,'Rozpocet - Vyvoj aplikacii'!$J$3:$J$179),0),0)</f>
        <v>0</v>
      </c>
      <c r="Q44" s="565">
        <f>IFERROR(IF(VLOOKUP(Q$2,MODULY_CBA!$B$3:$I$23,8,0)=$D44,SUMIF('Rozpocet - Vyvoj aplikacii'!$B$3:$B$179,'TCO TO BE- SW'!Q$2,'Rozpocet - Vyvoj aplikacii'!$J$3:$J$179),0),0)</f>
        <v>0</v>
      </c>
      <c r="R44" s="565">
        <f>IFERROR(IF(VLOOKUP(R$2,MODULY_CBA!$B$3:$I$23,8,0)=$D44,SUMIF('Rozpocet - Vyvoj aplikacii'!$B$3:$B$179,'TCO TO BE- SW'!R$2,'Rozpocet - Vyvoj aplikacii'!$J$3:$J$179),0),0)</f>
        <v>0</v>
      </c>
      <c r="S44" s="565">
        <f>IFERROR(IF(VLOOKUP(S$2,MODULY_CBA!$B$3:$I$23,8,0)=$D44,SUMIF('Rozpocet - Vyvoj aplikacii'!$B$3:$B$179,'TCO TO BE- SW'!S$2,'Rozpocet - Vyvoj aplikacii'!$J$3:$J$179),0),0)</f>
        <v>0</v>
      </c>
      <c r="T44" s="565">
        <f>IFERROR(IF(VLOOKUP(T$2,MODULY_CBA!$B$3:$I$23,8,0)=$D44,SUMIF('Rozpocet - Vyvoj aplikacii'!$B$3:$B$179,'TCO TO BE- SW'!T$2,'Rozpocet - Vyvoj aplikacii'!$J$3:$J$179),0),0)</f>
        <v>0</v>
      </c>
      <c r="U44" s="565">
        <f>IFERROR(IF(VLOOKUP(U$2,MODULY_CBA!$B$3:$I$23,8,0)=$D44,SUMIF('Rozpocet - Vyvoj aplikacii'!$B$3:$B$179,'TCO TO BE- SW'!U$2,'Rozpocet - Vyvoj aplikacii'!$J$3:$J$179),0),0)</f>
        <v>0</v>
      </c>
      <c r="V44" s="565">
        <f>IFERROR(IF(VLOOKUP(V$2,MODULY_CBA!$B$3:$I$23,8,0)=$D44,SUMIF('Rozpocet - Vyvoj aplikacii'!$B$3:$B$179,'TCO TO BE- SW'!V$2,'Rozpocet - Vyvoj aplikacii'!$J$3:$J$179),0),0)</f>
        <v>0</v>
      </c>
      <c r="W44" s="565">
        <f>IFERROR(IF(VLOOKUP(W$2,MODULY_CBA!$B$3:$I$23,8,0)=$D44,SUMIF('Rozpocet - Vyvoj aplikacii'!$B$3:$B$179,'TCO TO BE- SW'!W$2,'Rozpocet - Vyvoj aplikacii'!$J$3:$J$179),0),0)</f>
        <v>0</v>
      </c>
      <c r="X44" s="565">
        <f>IFERROR(IF(VLOOKUP(X$2,MODULY_CBA!$B$3:$I$23,8,0)=$D44,SUMIF('Rozpocet - Vyvoj aplikacii'!$B$3:$B$179,'TCO TO BE- SW'!X$2,'Rozpocet - Vyvoj aplikacii'!$J$3:$J$179),0),0)</f>
        <v>0</v>
      </c>
      <c r="Y44" s="565">
        <f>IFERROR(IF(VLOOKUP(Y$2,MODULY_CBA!$B$3:$I$23,8,0)=$D44,SUMIF('Rozpocet - Vyvoj aplikacii'!$B$3:$B$179,'TCO TO BE- SW'!Y$2,'Rozpocet - Vyvoj aplikacii'!$J$3:$J$179),0),0)</f>
        <v>0</v>
      </c>
      <c r="Z44" s="565">
        <f>IFERROR(IF(VLOOKUP(Z$2,MODULY_CBA!$B$3:$I$23,8,0)=$D44,SUMIF('Rozpocet - Vyvoj aplikacii'!$B$3:$B$179,'TCO TO BE- SW'!Z$2,'Rozpocet - Vyvoj aplikacii'!$J$3:$J$179),0),0)</f>
        <v>0</v>
      </c>
    </row>
    <row r="45" spans="1:26" outlineLevel="2">
      <c r="A45" s="807"/>
      <c r="B45" s="808"/>
      <c r="C45" s="808"/>
      <c r="D45" s="64">
        <v>9</v>
      </c>
      <c r="E45" s="68">
        <f t="shared" si="6"/>
        <v>0</v>
      </c>
      <c r="F45" s="565">
        <f>IFERROR(IF(VLOOKUP(F$2,MODULY_CBA!$B$3:$I$23,8,0)=$D45,SUMIF('Rozpocet - Vyvoj aplikacii'!$B$3:$B$179,'TCO TO BE- SW'!F$2,'Rozpocet - Vyvoj aplikacii'!$J$3:$J$179),0),0)</f>
        <v>0</v>
      </c>
      <c r="G45" s="565">
        <f>IFERROR(IF(VLOOKUP(G$2,MODULY_CBA!$B$3:$I$23,8,0)=$D45,SUMIF('Rozpocet - Vyvoj aplikacii'!$B$3:$B$179,'TCO TO BE- SW'!G$2,'Rozpocet - Vyvoj aplikacii'!$J$3:$J$179),0),0)</f>
        <v>0</v>
      </c>
      <c r="H45" s="565">
        <f>IFERROR(IF(VLOOKUP(H$2,MODULY_CBA!$B$3:$I$23,8,0)=$D45,SUMIF('Rozpocet - Vyvoj aplikacii'!$B$3:$B$179,'TCO TO BE- SW'!H$2,'Rozpocet - Vyvoj aplikacii'!$J$3:$J$179),0),0)</f>
        <v>0</v>
      </c>
      <c r="I45" s="565">
        <f>IFERROR(IF(VLOOKUP(I$2,MODULY_CBA!$B$3:$I$23,8,0)=$D45,SUMIF('Rozpocet - Vyvoj aplikacii'!$B$3:$B$179,'TCO TO BE- SW'!I$2,'Rozpocet - Vyvoj aplikacii'!$J$3:$J$179),0),0)</f>
        <v>0</v>
      </c>
      <c r="J45" s="565">
        <f>IFERROR(IF(VLOOKUP(J$2,MODULY_CBA!$B$3:$I$23,8,0)=$D45,SUMIF('Rozpocet - Vyvoj aplikacii'!$B$3:$B$179,'TCO TO BE- SW'!J$2,'Rozpocet - Vyvoj aplikacii'!$J$3:$J$179),0),0)</f>
        <v>0</v>
      </c>
      <c r="K45" s="565">
        <f>IFERROR(IF(VLOOKUP(K$2,MODULY_CBA!$B$3:$I$23,8,0)=$D45,SUMIF('Rozpocet - Vyvoj aplikacii'!$B$3:$B$179,'TCO TO BE- SW'!K$2,'Rozpocet - Vyvoj aplikacii'!$J$3:$J$179),0),0)</f>
        <v>0</v>
      </c>
      <c r="L45" s="565">
        <f>IFERROR(IF(VLOOKUP(L$2,MODULY_CBA!$B$3:$I$23,8,0)=$D45,SUMIF('Rozpocet - Vyvoj aplikacii'!$B$3:$B$179,'TCO TO BE- SW'!L$2,'Rozpocet - Vyvoj aplikacii'!$J$3:$J$179),0),0)</f>
        <v>0</v>
      </c>
      <c r="M45" s="565">
        <f>IFERROR(IF(VLOOKUP(M$2,MODULY_CBA!$B$3:$I$23,8,0)=$D45,SUMIF('Rozpocet - Vyvoj aplikacii'!$B$3:$B$179,'TCO TO BE- SW'!M$2,'Rozpocet - Vyvoj aplikacii'!$J$3:$J$179),0),0)</f>
        <v>0</v>
      </c>
      <c r="N45" s="565">
        <f>IFERROR(IF(VLOOKUP(N$2,MODULY_CBA!$B$3:$I$23,8,0)=$D45,SUMIF('Rozpocet - Vyvoj aplikacii'!$B$3:$B$179,'TCO TO BE- SW'!N$2,'Rozpocet - Vyvoj aplikacii'!$J$3:$J$179),0),0)</f>
        <v>0</v>
      </c>
      <c r="O45" s="565">
        <f>IFERROR(IF(VLOOKUP(O$2,MODULY_CBA!$B$3:$I$23,8,0)=$D45,SUMIF('Rozpocet - Vyvoj aplikacii'!$B$3:$B$179,'TCO TO BE- SW'!O$2,'Rozpocet - Vyvoj aplikacii'!$J$3:$J$179),0),0)</f>
        <v>0</v>
      </c>
      <c r="P45" s="565">
        <f>IFERROR(IF(VLOOKUP(P$2,MODULY_CBA!$B$3:$I$23,8,0)=$D45,SUMIF('Rozpocet - Vyvoj aplikacii'!$B$3:$B$179,'TCO TO BE- SW'!P$2,'Rozpocet - Vyvoj aplikacii'!$J$3:$J$179),0),0)</f>
        <v>0</v>
      </c>
      <c r="Q45" s="565">
        <f>IFERROR(IF(VLOOKUP(Q$2,MODULY_CBA!$B$3:$I$23,8,0)=$D45,SUMIF('Rozpocet - Vyvoj aplikacii'!$B$3:$B$179,'TCO TO BE- SW'!Q$2,'Rozpocet - Vyvoj aplikacii'!$J$3:$J$179),0),0)</f>
        <v>0</v>
      </c>
      <c r="R45" s="565">
        <f>IFERROR(IF(VLOOKUP(R$2,MODULY_CBA!$B$3:$I$23,8,0)=$D45,SUMIF('Rozpocet - Vyvoj aplikacii'!$B$3:$B$179,'TCO TO BE- SW'!R$2,'Rozpocet - Vyvoj aplikacii'!$J$3:$J$179),0),0)</f>
        <v>0</v>
      </c>
      <c r="S45" s="565">
        <f>IFERROR(IF(VLOOKUP(S$2,MODULY_CBA!$B$3:$I$23,8,0)=$D45,SUMIF('Rozpocet - Vyvoj aplikacii'!$B$3:$B$179,'TCO TO BE- SW'!S$2,'Rozpocet - Vyvoj aplikacii'!$J$3:$J$179),0),0)</f>
        <v>0</v>
      </c>
      <c r="T45" s="565">
        <f>IFERROR(IF(VLOOKUP(T$2,MODULY_CBA!$B$3:$I$23,8,0)=$D45,SUMIF('Rozpocet - Vyvoj aplikacii'!$B$3:$B$179,'TCO TO BE- SW'!T$2,'Rozpocet - Vyvoj aplikacii'!$J$3:$J$179),0),0)</f>
        <v>0</v>
      </c>
      <c r="U45" s="565">
        <f>IFERROR(IF(VLOOKUP(U$2,MODULY_CBA!$B$3:$I$23,8,0)=$D45,SUMIF('Rozpocet - Vyvoj aplikacii'!$B$3:$B$179,'TCO TO BE- SW'!U$2,'Rozpocet - Vyvoj aplikacii'!$J$3:$J$179),0),0)</f>
        <v>0</v>
      </c>
      <c r="V45" s="565">
        <f>IFERROR(IF(VLOOKUP(V$2,MODULY_CBA!$B$3:$I$23,8,0)=$D45,SUMIF('Rozpocet - Vyvoj aplikacii'!$B$3:$B$179,'TCO TO BE- SW'!V$2,'Rozpocet - Vyvoj aplikacii'!$J$3:$J$179),0),0)</f>
        <v>0</v>
      </c>
      <c r="W45" s="565">
        <f>IFERROR(IF(VLOOKUP(W$2,MODULY_CBA!$B$3:$I$23,8,0)=$D45,SUMIF('Rozpocet - Vyvoj aplikacii'!$B$3:$B$179,'TCO TO BE- SW'!W$2,'Rozpocet - Vyvoj aplikacii'!$J$3:$J$179),0),0)</f>
        <v>0</v>
      </c>
      <c r="X45" s="565">
        <f>IFERROR(IF(VLOOKUP(X$2,MODULY_CBA!$B$3:$I$23,8,0)=$D45,SUMIF('Rozpocet - Vyvoj aplikacii'!$B$3:$B$179,'TCO TO BE- SW'!X$2,'Rozpocet - Vyvoj aplikacii'!$J$3:$J$179),0),0)</f>
        <v>0</v>
      </c>
      <c r="Y45" s="565">
        <f>IFERROR(IF(VLOOKUP(Y$2,MODULY_CBA!$B$3:$I$23,8,0)=$D45,SUMIF('Rozpocet - Vyvoj aplikacii'!$B$3:$B$179,'TCO TO BE- SW'!Y$2,'Rozpocet - Vyvoj aplikacii'!$J$3:$J$179),0),0)</f>
        <v>0</v>
      </c>
      <c r="Z45" s="565">
        <f>IFERROR(IF(VLOOKUP(Z$2,MODULY_CBA!$B$3:$I$23,8,0)=$D45,SUMIF('Rozpocet - Vyvoj aplikacii'!$B$3:$B$179,'TCO TO BE- SW'!Z$2,'Rozpocet - Vyvoj aplikacii'!$J$3:$J$179),0),0)</f>
        <v>0</v>
      </c>
    </row>
    <row r="46" spans="1:26" ht="15.75" outlineLevel="2" thickBot="1">
      <c r="A46" s="807"/>
      <c r="B46" s="808"/>
      <c r="C46" s="808"/>
      <c r="D46" s="65">
        <v>10</v>
      </c>
      <c r="E46" s="69">
        <f t="shared" si="6"/>
        <v>0</v>
      </c>
      <c r="F46" s="566">
        <f>IFERROR(IF(VLOOKUP(F$2,MODULY_CBA!$B$3:$I$23,8,0)=$D46,SUMIF('Rozpocet - Vyvoj aplikacii'!$B$3:$B$179,'TCO TO BE- SW'!F$2,'Rozpocet - Vyvoj aplikacii'!$J$3:$J$179),0),0)</f>
        <v>0</v>
      </c>
      <c r="G46" s="566">
        <f>IFERROR(IF(VLOOKUP(G$2,MODULY_CBA!$B$3:$I$23,8,0)=$D46,SUMIF('Rozpocet - Vyvoj aplikacii'!$B$3:$B$179,'TCO TO BE- SW'!G$2,'Rozpocet - Vyvoj aplikacii'!$J$3:$J$179),0),0)</f>
        <v>0</v>
      </c>
      <c r="H46" s="566">
        <f>IFERROR(IF(VLOOKUP(H$2,MODULY_CBA!$B$3:$I$23,8,0)=$D46,SUMIF('Rozpocet - Vyvoj aplikacii'!$B$3:$B$179,'TCO TO BE- SW'!H$2,'Rozpocet - Vyvoj aplikacii'!$J$3:$J$179),0),0)</f>
        <v>0</v>
      </c>
      <c r="I46" s="566">
        <f>IFERROR(IF(VLOOKUP(I$2,MODULY_CBA!$B$3:$I$23,8,0)=$D46,SUMIF('Rozpocet - Vyvoj aplikacii'!$B$3:$B$179,'TCO TO BE- SW'!I$2,'Rozpocet - Vyvoj aplikacii'!$J$3:$J$179),0),0)</f>
        <v>0</v>
      </c>
      <c r="J46" s="566">
        <f>IFERROR(IF(VLOOKUP(J$2,MODULY_CBA!$B$3:$I$23,8,0)=$D46,SUMIF('Rozpocet - Vyvoj aplikacii'!$B$3:$B$179,'TCO TO BE- SW'!J$2,'Rozpocet - Vyvoj aplikacii'!$J$3:$J$179),0),0)</f>
        <v>0</v>
      </c>
      <c r="K46" s="566">
        <f>IFERROR(IF(VLOOKUP(K$2,MODULY_CBA!$B$3:$I$23,8,0)=$D46,SUMIF('Rozpocet - Vyvoj aplikacii'!$B$3:$B$179,'TCO TO BE- SW'!K$2,'Rozpocet - Vyvoj aplikacii'!$J$3:$J$179),0),0)</f>
        <v>0</v>
      </c>
      <c r="L46" s="566">
        <f>IFERROR(IF(VLOOKUP(L$2,MODULY_CBA!$B$3:$I$23,8,0)=$D46,SUMIF('Rozpocet - Vyvoj aplikacii'!$B$3:$B$179,'TCO TO BE- SW'!L$2,'Rozpocet - Vyvoj aplikacii'!$J$3:$J$179),0),0)</f>
        <v>0</v>
      </c>
      <c r="M46" s="566">
        <f>IFERROR(IF(VLOOKUP(M$2,MODULY_CBA!$B$3:$I$23,8,0)=$D46,SUMIF('Rozpocet - Vyvoj aplikacii'!$B$3:$B$179,'TCO TO BE- SW'!M$2,'Rozpocet - Vyvoj aplikacii'!$J$3:$J$179),0),0)</f>
        <v>0</v>
      </c>
      <c r="N46" s="566">
        <f>IFERROR(IF(VLOOKUP(N$2,MODULY_CBA!$B$3:$I$23,8,0)=$D46,SUMIF('Rozpocet - Vyvoj aplikacii'!$B$3:$B$179,'TCO TO BE- SW'!N$2,'Rozpocet - Vyvoj aplikacii'!$J$3:$J$179),0),0)</f>
        <v>0</v>
      </c>
      <c r="O46" s="566">
        <f>IFERROR(IF(VLOOKUP(O$2,MODULY_CBA!$B$3:$I$23,8,0)=$D46,SUMIF('Rozpocet - Vyvoj aplikacii'!$B$3:$B$179,'TCO TO BE- SW'!O$2,'Rozpocet - Vyvoj aplikacii'!$J$3:$J$179),0),0)</f>
        <v>0</v>
      </c>
      <c r="P46" s="566">
        <f>IFERROR(IF(VLOOKUP(P$2,MODULY_CBA!$B$3:$I$23,8,0)=$D46,SUMIF('Rozpocet - Vyvoj aplikacii'!$B$3:$B$179,'TCO TO BE- SW'!P$2,'Rozpocet - Vyvoj aplikacii'!$J$3:$J$179),0),0)</f>
        <v>0</v>
      </c>
      <c r="Q46" s="566">
        <f>IFERROR(IF(VLOOKUP(Q$2,MODULY_CBA!$B$3:$I$23,8,0)=$D46,SUMIF('Rozpocet - Vyvoj aplikacii'!$B$3:$B$179,'TCO TO BE- SW'!Q$2,'Rozpocet - Vyvoj aplikacii'!$J$3:$J$179),0),0)</f>
        <v>0</v>
      </c>
      <c r="R46" s="566">
        <f>IFERROR(IF(VLOOKUP(R$2,MODULY_CBA!$B$3:$I$23,8,0)=$D46,SUMIF('Rozpocet - Vyvoj aplikacii'!$B$3:$B$179,'TCO TO BE- SW'!R$2,'Rozpocet - Vyvoj aplikacii'!$J$3:$J$179),0),0)</f>
        <v>0</v>
      </c>
      <c r="S46" s="566">
        <f>IFERROR(IF(VLOOKUP(S$2,MODULY_CBA!$B$3:$I$23,8,0)=$D46,SUMIF('Rozpocet - Vyvoj aplikacii'!$B$3:$B$179,'TCO TO BE- SW'!S$2,'Rozpocet - Vyvoj aplikacii'!$J$3:$J$179),0),0)</f>
        <v>0</v>
      </c>
      <c r="T46" s="566">
        <f>IFERROR(IF(VLOOKUP(T$2,MODULY_CBA!$B$3:$I$23,8,0)=$D46,SUMIF('Rozpocet - Vyvoj aplikacii'!$B$3:$B$179,'TCO TO BE- SW'!T$2,'Rozpocet - Vyvoj aplikacii'!$J$3:$J$179),0),0)</f>
        <v>0</v>
      </c>
      <c r="U46" s="566">
        <f>IFERROR(IF(VLOOKUP(U$2,MODULY_CBA!$B$3:$I$23,8,0)=$D46,SUMIF('Rozpocet - Vyvoj aplikacii'!$B$3:$B$179,'TCO TO BE- SW'!U$2,'Rozpocet - Vyvoj aplikacii'!$J$3:$J$179),0),0)</f>
        <v>0</v>
      </c>
      <c r="V46" s="566">
        <f>IFERROR(IF(VLOOKUP(V$2,MODULY_CBA!$B$3:$I$23,8,0)=$D46,SUMIF('Rozpocet - Vyvoj aplikacii'!$B$3:$B$179,'TCO TO BE- SW'!V$2,'Rozpocet - Vyvoj aplikacii'!$J$3:$J$179),0),0)</f>
        <v>0</v>
      </c>
      <c r="W46" s="566">
        <f>IFERROR(IF(VLOOKUP(W$2,MODULY_CBA!$B$3:$I$23,8,0)=$D46,SUMIF('Rozpocet - Vyvoj aplikacii'!$B$3:$B$179,'TCO TO BE- SW'!W$2,'Rozpocet - Vyvoj aplikacii'!$J$3:$J$179),0),0)</f>
        <v>0</v>
      </c>
      <c r="X46" s="566">
        <f>IFERROR(IF(VLOOKUP(X$2,MODULY_CBA!$B$3:$I$23,8,0)=$D46,SUMIF('Rozpocet - Vyvoj aplikacii'!$B$3:$B$179,'TCO TO BE- SW'!X$2,'Rozpocet - Vyvoj aplikacii'!$J$3:$J$179),0),0)</f>
        <v>0</v>
      </c>
      <c r="Y46" s="566">
        <f>IFERROR(IF(VLOOKUP(Y$2,MODULY_CBA!$B$3:$I$23,8,0)=$D46,SUMIF('Rozpocet - Vyvoj aplikacii'!$B$3:$B$179,'TCO TO BE- SW'!Y$2,'Rozpocet - Vyvoj aplikacii'!$J$3:$J$179),0),0)</f>
        <v>0</v>
      </c>
      <c r="Z46" s="566">
        <f>IFERROR(IF(VLOOKUP(Z$2,MODULY_CBA!$B$3:$I$23,8,0)=$D46,SUMIF('Rozpocet - Vyvoj aplikacii'!$B$3:$B$179,'TCO TO BE- SW'!Z$2,'Rozpocet - Vyvoj aplikacii'!$J$3:$J$179),0),0)</f>
        <v>0</v>
      </c>
    </row>
    <row r="47" spans="1:26" outlineLevel="2">
      <c r="A47" s="807" t="s">
        <v>76</v>
      </c>
      <c r="B47" s="808" t="s">
        <v>78</v>
      </c>
      <c r="C47" s="808">
        <v>633013</v>
      </c>
      <c r="D47" s="63">
        <v>1</v>
      </c>
      <c r="E47" s="68">
        <f t="shared" si="6"/>
        <v>0</v>
      </c>
      <c r="F47" s="567">
        <v>0</v>
      </c>
      <c r="G47" s="567">
        <v>0</v>
      </c>
      <c r="H47" s="567">
        <v>0</v>
      </c>
      <c r="I47" s="567">
        <v>0</v>
      </c>
      <c r="J47" s="567">
        <v>0</v>
      </c>
      <c r="K47" s="567">
        <v>0</v>
      </c>
      <c r="L47" s="567">
        <v>0</v>
      </c>
      <c r="M47" s="567">
        <v>0</v>
      </c>
      <c r="N47" s="567">
        <v>0</v>
      </c>
      <c r="O47" s="567">
        <v>0</v>
      </c>
      <c r="P47" s="567">
        <v>0</v>
      </c>
      <c r="Q47" s="567">
        <v>0</v>
      </c>
      <c r="R47" s="567">
        <v>0</v>
      </c>
      <c r="S47" s="567">
        <v>0</v>
      </c>
      <c r="T47" s="567">
        <v>0</v>
      </c>
      <c r="U47" s="567">
        <v>0</v>
      </c>
      <c r="V47" s="567">
        <v>0</v>
      </c>
      <c r="W47" s="567">
        <v>0</v>
      </c>
      <c r="X47" s="567">
        <v>0</v>
      </c>
      <c r="Y47" s="567">
        <v>0</v>
      </c>
      <c r="Z47" s="567">
        <v>0</v>
      </c>
    </row>
    <row r="48" spans="1:26" outlineLevel="2">
      <c r="A48" s="807"/>
      <c r="B48" s="808"/>
      <c r="C48" s="808"/>
      <c r="D48" s="64">
        <v>2</v>
      </c>
      <c r="E48" s="68">
        <f t="shared" si="6"/>
        <v>0</v>
      </c>
      <c r="F48" s="568">
        <v>0</v>
      </c>
      <c r="G48" s="568">
        <v>0</v>
      </c>
      <c r="H48" s="568">
        <v>0</v>
      </c>
      <c r="I48" s="568">
        <v>0</v>
      </c>
      <c r="J48" s="568">
        <v>0</v>
      </c>
      <c r="K48" s="568">
        <v>0</v>
      </c>
      <c r="L48" s="568">
        <v>0</v>
      </c>
      <c r="M48" s="568">
        <v>0</v>
      </c>
      <c r="N48" s="568">
        <v>0</v>
      </c>
      <c r="O48" s="568">
        <v>0</v>
      </c>
      <c r="P48" s="568">
        <v>0</v>
      </c>
      <c r="Q48" s="568">
        <v>0</v>
      </c>
      <c r="R48" s="568">
        <v>0</v>
      </c>
      <c r="S48" s="568">
        <v>0</v>
      </c>
      <c r="T48" s="568">
        <v>0</v>
      </c>
      <c r="U48" s="568">
        <v>0</v>
      </c>
      <c r="V48" s="568">
        <v>0</v>
      </c>
      <c r="W48" s="568">
        <v>0</v>
      </c>
      <c r="X48" s="568">
        <v>0</v>
      </c>
      <c r="Y48" s="568">
        <v>0</v>
      </c>
      <c r="Z48" s="568">
        <v>0</v>
      </c>
    </row>
    <row r="49" spans="1:26" outlineLevel="2">
      <c r="A49" s="807"/>
      <c r="B49" s="808"/>
      <c r="C49" s="808"/>
      <c r="D49" s="64">
        <v>3</v>
      </c>
      <c r="E49" s="68">
        <f t="shared" si="6"/>
        <v>0</v>
      </c>
      <c r="F49" s="568">
        <v>0</v>
      </c>
      <c r="G49" s="568">
        <v>0</v>
      </c>
      <c r="H49" s="568">
        <v>0</v>
      </c>
      <c r="I49" s="568">
        <v>0</v>
      </c>
      <c r="J49" s="568">
        <v>0</v>
      </c>
      <c r="K49" s="568">
        <v>0</v>
      </c>
      <c r="L49" s="568">
        <v>0</v>
      </c>
      <c r="M49" s="568">
        <v>0</v>
      </c>
      <c r="N49" s="568">
        <v>0</v>
      </c>
      <c r="O49" s="568">
        <v>0</v>
      </c>
      <c r="P49" s="568">
        <v>0</v>
      </c>
      <c r="Q49" s="568">
        <v>0</v>
      </c>
      <c r="R49" s="568">
        <v>0</v>
      </c>
      <c r="S49" s="568">
        <v>0</v>
      </c>
      <c r="T49" s="568">
        <v>0</v>
      </c>
      <c r="U49" s="568">
        <v>0</v>
      </c>
      <c r="V49" s="568">
        <v>0</v>
      </c>
      <c r="W49" s="568">
        <v>0</v>
      </c>
      <c r="X49" s="568">
        <v>0</v>
      </c>
      <c r="Y49" s="568">
        <v>0</v>
      </c>
      <c r="Z49" s="568">
        <v>0</v>
      </c>
    </row>
    <row r="50" spans="1:26" outlineLevel="2">
      <c r="A50" s="807"/>
      <c r="B50" s="808"/>
      <c r="C50" s="808"/>
      <c r="D50" s="64">
        <v>4</v>
      </c>
      <c r="E50" s="68">
        <f t="shared" si="6"/>
        <v>0</v>
      </c>
      <c r="F50" s="568">
        <v>0</v>
      </c>
      <c r="G50" s="568">
        <v>0</v>
      </c>
      <c r="H50" s="568">
        <v>0</v>
      </c>
      <c r="I50" s="568">
        <v>0</v>
      </c>
      <c r="J50" s="568">
        <v>0</v>
      </c>
      <c r="K50" s="568">
        <v>0</v>
      </c>
      <c r="L50" s="568">
        <v>0</v>
      </c>
      <c r="M50" s="568">
        <v>0</v>
      </c>
      <c r="N50" s="568">
        <v>0</v>
      </c>
      <c r="O50" s="568">
        <v>0</v>
      </c>
      <c r="P50" s="568">
        <v>0</v>
      </c>
      <c r="Q50" s="568">
        <v>0</v>
      </c>
      <c r="R50" s="568">
        <v>0</v>
      </c>
      <c r="S50" s="568">
        <v>0</v>
      </c>
      <c r="T50" s="568">
        <v>0</v>
      </c>
      <c r="U50" s="568">
        <v>0</v>
      </c>
      <c r="V50" s="568">
        <v>0</v>
      </c>
      <c r="W50" s="568">
        <v>0</v>
      </c>
      <c r="X50" s="568">
        <v>0</v>
      </c>
      <c r="Y50" s="568">
        <v>0</v>
      </c>
      <c r="Z50" s="568">
        <v>0</v>
      </c>
    </row>
    <row r="51" spans="1:26" outlineLevel="2">
      <c r="A51" s="807"/>
      <c r="B51" s="808"/>
      <c r="C51" s="808"/>
      <c r="D51" s="64">
        <v>5</v>
      </c>
      <c r="E51" s="68">
        <f t="shared" si="6"/>
        <v>0</v>
      </c>
      <c r="F51" s="568">
        <v>0</v>
      </c>
      <c r="G51" s="568">
        <v>0</v>
      </c>
      <c r="H51" s="568">
        <v>0</v>
      </c>
      <c r="I51" s="568">
        <v>0</v>
      </c>
      <c r="J51" s="568">
        <v>0</v>
      </c>
      <c r="K51" s="568">
        <v>0</v>
      </c>
      <c r="L51" s="568">
        <v>0</v>
      </c>
      <c r="M51" s="568">
        <v>0</v>
      </c>
      <c r="N51" s="568">
        <v>0</v>
      </c>
      <c r="O51" s="568">
        <v>0</v>
      </c>
      <c r="P51" s="568">
        <v>0</v>
      </c>
      <c r="Q51" s="568">
        <v>0</v>
      </c>
      <c r="R51" s="568">
        <v>0</v>
      </c>
      <c r="S51" s="568">
        <v>0</v>
      </c>
      <c r="T51" s="568">
        <v>0</v>
      </c>
      <c r="U51" s="568">
        <v>0</v>
      </c>
      <c r="V51" s="568">
        <v>0</v>
      </c>
      <c r="W51" s="568">
        <v>0</v>
      </c>
      <c r="X51" s="568">
        <v>0</v>
      </c>
      <c r="Y51" s="568">
        <v>0</v>
      </c>
      <c r="Z51" s="568">
        <v>0</v>
      </c>
    </row>
    <row r="52" spans="1:26" outlineLevel="2">
      <c r="A52" s="807"/>
      <c r="B52" s="808"/>
      <c r="C52" s="808"/>
      <c r="D52" s="64">
        <v>6</v>
      </c>
      <c r="E52" s="68">
        <f t="shared" si="6"/>
        <v>0</v>
      </c>
      <c r="F52" s="568">
        <v>0</v>
      </c>
      <c r="G52" s="568">
        <v>0</v>
      </c>
      <c r="H52" s="568">
        <v>0</v>
      </c>
      <c r="I52" s="568">
        <v>0</v>
      </c>
      <c r="J52" s="568">
        <v>0</v>
      </c>
      <c r="K52" s="568">
        <v>0</v>
      </c>
      <c r="L52" s="568">
        <v>0</v>
      </c>
      <c r="M52" s="568">
        <v>0</v>
      </c>
      <c r="N52" s="568">
        <v>0</v>
      </c>
      <c r="O52" s="568">
        <v>0</v>
      </c>
      <c r="P52" s="568">
        <v>0</v>
      </c>
      <c r="Q52" s="568">
        <v>0</v>
      </c>
      <c r="R52" s="568">
        <v>0</v>
      </c>
      <c r="S52" s="568">
        <v>0</v>
      </c>
      <c r="T52" s="568">
        <v>0</v>
      </c>
      <c r="U52" s="568">
        <v>0</v>
      </c>
      <c r="V52" s="568">
        <v>0</v>
      </c>
      <c r="W52" s="568">
        <v>0</v>
      </c>
      <c r="X52" s="568">
        <v>0</v>
      </c>
      <c r="Y52" s="568">
        <v>0</v>
      </c>
      <c r="Z52" s="568">
        <v>0</v>
      </c>
    </row>
    <row r="53" spans="1:26" outlineLevel="2">
      <c r="A53" s="807"/>
      <c r="B53" s="808"/>
      <c r="C53" s="808"/>
      <c r="D53" s="64">
        <v>7</v>
      </c>
      <c r="E53" s="68">
        <f t="shared" si="6"/>
        <v>0</v>
      </c>
      <c r="F53" s="568">
        <v>0</v>
      </c>
      <c r="G53" s="568">
        <v>0</v>
      </c>
      <c r="H53" s="568">
        <v>0</v>
      </c>
      <c r="I53" s="568">
        <v>0</v>
      </c>
      <c r="J53" s="568">
        <v>0</v>
      </c>
      <c r="K53" s="568">
        <v>0</v>
      </c>
      <c r="L53" s="568">
        <v>0</v>
      </c>
      <c r="M53" s="568">
        <v>0</v>
      </c>
      <c r="N53" s="568">
        <v>0</v>
      </c>
      <c r="O53" s="568">
        <v>0</v>
      </c>
      <c r="P53" s="568">
        <v>0</v>
      </c>
      <c r="Q53" s="568">
        <v>0</v>
      </c>
      <c r="R53" s="568">
        <v>0</v>
      </c>
      <c r="S53" s="568">
        <v>0</v>
      </c>
      <c r="T53" s="568">
        <v>0</v>
      </c>
      <c r="U53" s="568">
        <v>0</v>
      </c>
      <c r="V53" s="568">
        <v>0</v>
      </c>
      <c r="W53" s="568">
        <v>0</v>
      </c>
      <c r="X53" s="568">
        <v>0</v>
      </c>
      <c r="Y53" s="568">
        <v>0</v>
      </c>
      <c r="Z53" s="568">
        <v>0</v>
      </c>
    </row>
    <row r="54" spans="1:26" outlineLevel="2">
      <c r="A54" s="807"/>
      <c r="B54" s="808"/>
      <c r="C54" s="808"/>
      <c r="D54" s="64">
        <v>8</v>
      </c>
      <c r="E54" s="68">
        <f t="shared" si="6"/>
        <v>0</v>
      </c>
      <c r="F54" s="568">
        <v>0</v>
      </c>
      <c r="G54" s="568">
        <v>0</v>
      </c>
      <c r="H54" s="568">
        <v>0</v>
      </c>
      <c r="I54" s="568">
        <v>0</v>
      </c>
      <c r="J54" s="568">
        <v>0</v>
      </c>
      <c r="K54" s="568">
        <v>0</v>
      </c>
      <c r="L54" s="568">
        <v>0</v>
      </c>
      <c r="M54" s="568">
        <v>0</v>
      </c>
      <c r="N54" s="568">
        <v>0</v>
      </c>
      <c r="O54" s="568">
        <v>0</v>
      </c>
      <c r="P54" s="568">
        <v>0</v>
      </c>
      <c r="Q54" s="568">
        <v>0</v>
      </c>
      <c r="R54" s="568">
        <v>0</v>
      </c>
      <c r="S54" s="568">
        <v>0</v>
      </c>
      <c r="T54" s="568">
        <v>0</v>
      </c>
      <c r="U54" s="568">
        <v>0</v>
      </c>
      <c r="V54" s="568">
        <v>0</v>
      </c>
      <c r="W54" s="568">
        <v>0</v>
      </c>
      <c r="X54" s="568">
        <v>0</v>
      </c>
      <c r="Y54" s="568">
        <v>0</v>
      </c>
      <c r="Z54" s="568">
        <v>0</v>
      </c>
    </row>
    <row r="55" spans="1:26" outlineLevel="2">
      <c r="A55" s="807"/>
      <c r="B55" s="808"/>
      <c r="C55" s="808"/>
      <c r="D55" s="64">
        <v>9</v>
      </c>
      <c r="E55" s="68">
        <f t="shared" si="6"/>
        <v>0</v>
      </c>
      <c r="F55" s="568">
        <v>0</v>
      </c>
      <c r="G55" s="568">
        <v>0</v>
      </c>
      <c r="H55" s="568">
        <v>0</v>
      </c>
      <c r="I55" s="568">
        <v>0</v>
      </c>
      <c r="J55" s="568">
        <v>0</v>
      </c>
      <c r="K55" s="568">
        <v>0</v>
      </c>
      <c r="L55" s="568">
        <v>0</v>
      </c>
      <c r="M55" s="568">
        <v>0</v>
      </c>
      <c r="N55" s="568">
        <v>0</v>
      </c>
      <c r="O55" s="568">
        <v>0</v>
      </c>
      <c r="P55" s="568">
        <v>0</v>
      </c>
      <c r="Q55" s="568">
        <v>0</v>
      </c>
      <c r="R55" s="568">
        <v>0</v>
      </c>
      <c r="S55" s="568">
        <v>0</v>
      </c>
      <c r="T55" s="568">
        <v>0</v>
      </c>
      <c r="U55" s="568">
        <v>0</v>
      </c>
      <c r="V55" s="568">
        <v>0</v>
      </c>
      <c r="W55" s="568">
        <v>0</v>
      </c>
      <c r="X55" s="568">
        <v>0</v>
      </c>
      <c r="Y55" s="568">
        <v>0</v>
      </c>
      <c r="Z55" s="568">
        <v>0</v>
      </c>
    </row>
    <row r="56" spans="1:26" ht="15.75" outlineLevel="2" thickBot="1">
      <c r="A56" s="807"/>
      <c r="B56" s="808"/>
      <c r="C56" s="808"/>
      <c r="D56" s="65">
        <v>10</v>
      </c>
      <c r="E56" s="69">
        <f t="shared" si="6"/>
        <v>0</v>
      </c>
      <c r="F56" s="572">
        <v>0</v>
      </c>
      <c r="G56" s="572">
        <v>0</v>
      </c>
      <c r="H56" s="572">
        <v>0</v>
      </c>
      <c r="I56" s="572">
        <v>0</v>
      </c>
      <c r="J56" s="572">
        <v>0</v>
      </c>
      <c r="K56" s="572">
        <v>0</v>
      </c>
      <c r="L56" s="572">
        <v>0</v>
      </c>
      <c r="M56" s="572">
        <v>0</v>
      </c>
      <c r="N56" s="572">
        <v>0</v>
      </c>
      <c r="O56" s="572">
        <v>0</v>
      </c>
      <c r="P56" s="572">
        <v>0</v>
      </c>
      <c r="Q56" s="572">
        <v>0</v>
      </c>
      <c r="R56" s="572">
        <v>0</v>
      </c>
      <c r="S56" s="572">
        <v>0</v>
      </c>
      <c r="T56" s="572">
        <v>0</v>
      </c>
      <c r="U56" s="572">
        <v>0</v>
      </c>
      <c r="V56" s="572">
        <v>0</v>
      </c>
      <c r="W56" s="572">
        <v>0</v>
      </c>
      <c r="X56" s="572">
        <v>0</v>
      </c>
      <c r="Y56" s="572">
        <v>0</v>
      </c>
      <c r="Z56" s="572">
        <v>0</v>
      </c>
    </row>
    <row r="57" spans="1:26" outlineLevel="2">
      <c r="A57" s="807" t="s">
        <v>304</v>
      </c>
      <c r="B57" s="808" t="s">
        <v>528</v>
      </c>
      <c r="C57" s="808">
        <v>610</v>
      </c>
      <c r="D57" s="63">
        <v>1</v>
      </c>
      <c r="E57" s="68">
        <f t="shared" ref="E57:E66" si="7">SUM(F57:Z57)</f>
        <v>110540.42108872699</v>
      </c>
      <c r="F57" s="564">
        <f>IFERROR(IF(VLOOKUP(F$2,MODULY_CBA!$B$3:$L$23,8,0)=$D57,SUMIF('Rozpocet - Vyvoj aplikacii'!$B$3:$B$179,'TCO TO BE- SW'!F$2,'Rozpocet - Vyvoj aplikacii'!$I$3:$I$179),0),0)</f>
        <v>58221.145306472361</v>
      </c>
      <c r="G57" s="564">
        <f>IFERROR(IF(VLOOKUP(G$2,MODULY_CBA!$B$3:$L$23,8,0)=$D57,SUMIF('Rozpocet - Vyvoj aplikacii'!$B$3:$B$179,'TCO TO BE- SW'!G$2,'Rozpocet - Vyvoj aplikacii'!$I$3:$I$179),0),0)</f>
        <v>12601.288984140592</v>
      </c>
      <c r="H57" s="564">
        <f>IFERROR(IF(VLOOKUP(H$2,MODULY_CBA!$B$3:$L$23,8,0)=$D57,SUMIF('Rozpocet - Vyvoj aplikacii'!$B$3:$B$179,'TCO TO BE- SW'!H$2,'Rozpocet - Vyvoj aplikacii'!$I$3:$I$179),0),0)</f>
        <v>17322.784603514789</v>
      </c>
      <c r="I57" s="564">
        <f>IFERROR(IF(VLOOKUP(I$2,MODULY_CBA!$B$3:$L$23,8,0)=$D57,SUMIF('Rozpocet - Vyvoj aplikacii'!$B$3:$B$179,'TCO TO BE- SW'!I$2,'Rozpocet - Vyvoj aplikacii'!$I$3:$I$179),0),0)</f>
        <v>22395.202194599231</v>
      </c>
      <c r="J57" s="564">
        <f>IFERROR(IF(VLOOKUP(J$2,MODULY_CBA!$B$3:$L$23,8,0)=$D57,SUMIF('Rozpocet - Vyvoj aplikacii'!$B$3:$B$179,'TCO TO BE- SW'!J$2,'Rozpocet - Vyvoj aplikacii'!$I$3:$I$179),0),0)</f>
        <v>0</v>
      </c>
      <c r="K57" s="564">
        <f>IFERROR(IF(VLOOKUP(K$2,MODULY_CBA!$B$3:$L$23,8,0)=$D57,SUMIF('Rozpocet - Vyvoj aplikacii'!$B$3:$B$179,'TCO TO BE- SW'!K$2,'Rozpocet - Vyvoj aplikacii'!$I$3:$I$179),0),0)</f>
        <v>0</v>
      </c>
      <c r="L57" s="564">
        <f>IFERROR(IF(VLOOKUP(L$2,MODULY_CBA!$B$3:$L$23,8,0)=$D57,SUMIF('Rozpocet - Vyvoj aplikacii'!$B$3:$B$179,'TCO TO BE- SW'!L$2,'Rozpocet - Vyvoj aplikacii'!$I$3:$I$179),0),0)</f>
        <v>0</v>
      </c>
      <c r="M57" s="564">
        <f>IFERROR(IF(VLOOKUP(M$2,MODULY_CBA!$B$3:$L$23,8,0)=$D57,SUMIF('Rozpocet - Vyvoj aplikacii'!$B$3:$B$179,'TCO TO BE- SW'!M$2,'Rozpocet - Vyvoj aplikacii'!$I$3:$I$179),0),0)</f>
        <v>0</v>
      </c>
      <c r="N57" s="564">
        <f>IFERROR(IF(VLOOKUP(N$2,MODULY_CBA!$B$3:$L$23,8,0)=$D57,SUMIF('Rozpocet - Vyvoj aplikacii'!$B$3:$B$179,'TCO TO BE- SW'!N$2,'Rozpocet - Vyvoj aplikacii'!$I$3:$I$179),0),0)</f>
        <v>0</v>
      </c>
      <c r="O57" s="564">
        <f>IFERROR(IF(VLOOKUP(O$2,MODULY_CBA!$B$3:$L$23,8,0)=$D57,SUMIF('Rozpocet - Vyvoj aplikacii'!$B$3:$B$179,'TCO TO BE- SW'!O$2,'Rozpocet - Vyvoj aplikacii'!$I$3:$I$179),0),0)</f>
        <v>0</v>
      </c>
      <c r="P57" s="564">
        <f>IFERROR(IF(VLOOKUP(P$2,MODULY_CBA!$B$3:$L$23,8,0)=$D57,SUMIF('Rozpocet - Vyvoj aplikacii'!$B$3:$B$179,'TCO TO BE- SW'!P$2,'Rozpocet - Vyvoj aplikacii'!$I$3:$I$179),0),0)</f>
        <v>0</v>
      </c>
      <c r="Q57" s="564">
        <f>IFERROR(IF(VLOOKUP(Q$2,MODULY_CBA!$B$3:$L$23,8,0)=$D57,SUMIF('Rozpocet - Vyvoj aplikacii'!$B$3:$B$179,'TCO TO BE- SW'!Q$2,'Rozpocet - Vyvoj aplikacii'!$I$3:$I$179),0),0)</f>
        <v>0</v>
      </c>
      <c r="R57" s="564">
        <f>IFERROR(IF(VLOOKUP(R$2,MODULY_CBA!$B$3:$L$23,8,0)=$D57,SUMIF('Rozpocet - Vyvoj aplikacii'!$B$3:$B$179,'TCO TO BE- SW'!R$2,'Rozpocet - Vyvoj aplikacii'!$I$3:$I$179),0),0)</f>
        <v>0</v>
      </c>
      <c r="S57" s="564">
        <f>IFERROR(IF(VLOOKUP(S$2,MODULY_CBA!$B$3:$L$23,8,0)=$D57,SUMIF('Rozpocet - Vyvoj aplikacii'!$B$3:$B$179,'TCO TO BE- SW'!S$2,'Rozpocet - Vyvoj aplikacii'!$I$3:$I$179),0),0)</f>
        <v>0</v>
      </c>
      <c r="T57" s="564">
        <f>IFERROR(IF(VLOOKUP(T$2,MODULY_CBA!$B$3:$L$23,8,0)=$D57,SUMIF('Rozpocet - Vyvoj aplikacii'!$B$3:$B$179,'TCO TO BE- SW'!T$2,'Rozpocet - Vyvoj aplikacii'!$I$3:$I$179),0),0)</f>
        <v>0</v>
      </c>
      <c r="U57" s="564">
        <f>IFERROR(IF(VLOOKUP(U$2,MODULY_CBA!$B$3:$L$23,8,0)=$D57,SUMIF('Rozpocet - Vyvoj aplikacii'!$B$3:$B$179,'TCO TO BE- SW'!U$2,'Rozpocet - Vyvoj aplikacii'!$I$3:$I$179),0),0)</f>
        <v>0</v>
      </c>
      <c r="V57" s="564">
        <f>IFERROR(IF(VLOOKUP(V$2,MODULY_CBA!$B$3:$L$23,8,0)=$D57,SUMIF('Rozpocet - Vyvoj aplikacii'!$B$3:$B$179,'TCO TO BE- SW'!V$2,'Rozpocet - Vyvoj aplikacii'!$I$3:$I$179),0),0)</f>
        <v>0</v>
      </c>
      <c r="W57" s="564">
        <f>IFERROR(IF(VLOOKUP(W$2,MODULY_CBA!$B$3:$L$23,8,0)=$D57,SUMIF('Rozpocet - Vyvoj aplikacii'!$B$3:$B$179,'TCO TO BE- SW'!W$2,'Rozpocet - Vyvoj aplikacii'!$I$3:$I$179),0),0)</f>
        <v>0</v>
      </c>
      <c r="X57" s="564">
        <f>IFERROR(IF(VLOOKUP(X$2,MODULY_CBA!$B$3:$L$23,8,0)=$D57,SUMIF('Rozpocet - Vyvoj aplikacii'!$B$3:$B$179,'TCO TO BE- SW'!X$2,'Rozpocet - Vyvoj aplikacii'!$I$3:$I$179),0),0)</f>
        <v>0</v>
      </c>
      <c r="Y57" s="564">
        <f>IFERROR(IF(VLOOKUP(Y$2,MODULY_CBA!$B$3:$L$23,8,0)=$D57,SUMIF('Rozpocet - Vyvoj aplikacii'!$B$3:$B$179,'TCO TO BE- SW'!Y$2,'Rozpocet - Vyvoj aplikacii'!$I$3:$I$179),0),0)</f>
        <v>0</v>
      </c>
      <c r="Z57" s="564">
        <f>IFERROR(IF(VLOOKUP(Z$2,MODULY_CBA!$B$3:$L$23,8,0)=$D57,SUMIF('Rozpocet - Vyvoj aplikacii'!$B$3:$B$179,'TCO TO BE- SW'!Z$2,'Rozpocet - Vyvoj aplikacii'!$I$3:$I$179),0),0)</f>
        <v>0</v>
      </c>
    </row>
    <row r="58" spans="1:26" outlineLevel="2">
      <c r="A58" s="807"/>
      <c r="B58" s="808"/>
      <c r="C58" s="808"/>
      <c r="D58" s="64">
        <v>2</v>
      </c>
      <c r="E58" s="68">
        <f t="shared" si="7"/>
        <v>91909.654590655817</v>
      </c>
      <c r="F58" s="565">
        <f>IFERROR(IF(VLOOKUP(F$2,MODULY_CBA!$B$3:$L$23,8,0)=$D58,SUMIF('Rozpocet - Vyvoj aplikacii'!$B$3:$B$179,'TCO TO BE- SW'!F$2,'Rozpocet - Vyvoj aplikacii'!$I$3:$I$179),0),0)</f>
        <v>0</v>
      </c>
      <c r="G58" s="565">
        <f>IFERROR(IF(VLOOKUP(G$2,MODULY_CBA!$B$3:$L$23,8,0)=$D58,SUMIF('Rozpocet - Vyvoj aplikacii'!$B$3:$B$179,'TCO TO BE- SW'!G$2,'Rozpocet - Vyvoj aplikacii'!$I$3:$I$179),0),0)</f>
        <v>0</v>
      </c>
      <c r="H58" s="565">
        <f>IFERROR(IF(VLOOKUP(H$2,MODULY_CBA!$B$3:$L$23,8,0)=$D58,SUMIF('Rozpocet - Vyvoj aplikacii'!$B$3:$B$179,'TCO TO BE- SW'!H$2,'Rozpocet - Vyvoj aplikacii'!$I$3:$I$179),0),0)</f>
        <v>0</v>
      </c>
      <c r="I58" s="565">
        <f>IFERROR(IF(VLOOKUP(I$2,MODULY_CBA!$B$3:$L$23,8,0)=$D58,SUMIF('Rozpocet - Vyvoj aplikacii'!$B$3:$B$179,'TCO TO BE- SW'!I$2,'Rozpocet - Vyvoj aplikacii'!$I$3:$I$179),0),0)</f>
        <v>0</v>
      </c>
      <c r="J58" s="565">
        <f>IFERROR(IF(VLOOKUP(J$2,MODULY_CBA!$B$3:$L$23,8,0)=$D58,SUMIF('Rozpocet - Vyvoj aplikacii'!$B$3:$B$179,'TCO TO BE- SW'!J$2,'Rozpocet - Vyvoj aplikacii'!$I$3:$I$179),0),0)</f>
        <v>5901.8695242177455</v>
      </c>
      <c r="K58" s="565">
        <f>IFERROR(IF(VLOOKUP(K$2,MODULY_CBA!$B$3:$L$23,8,0)=$D58,SUMIF('Rozpocet - Vyvoj aplikacii'!$B$3:$B$179,'TCO TO BE- SW'!K$2,'Rozpocet - Vyvoj aplikacii'!$I$3:$I$179),0),0)</f>
        <v>12952.210955850836</v>
      </c>
      <c r="L58" s="565">
        <f>IFERROR(IF(VLOOKUP(L$2,MODULY_CBA!$B$3:$L$23,8,0)=$D58,SUMIF('Rozpocet - Vyvoj aplikacii'!$B$3:$B$179,'TCO TO BE- SW'!L$2,'Rozpocet - Vyvoj aplikacii'!$I$3:$I$179),0),0)</f>
        <v>27116.697813973427</v>
      </c>
      <c r="M58" s="565">
        <f>IFERROR(IF(VLOOKUP(M$2,MODULY_CBA!$B$3:$L$23,8,0)=$D58,SUMIF('Rozpocet - Vyvoj aplikacii'!$B$3:$B$179,'TCO TO BE- SW'!M$2,'Rozpocet - Vyvoj aplikacii'!$I$3:$I$179),0),0)</f>
        <v>31806.291435919418</v>
      </c>
      <c r="N58" s="565">
        <f>IFERROR(IF(VLOOKUP(N$2,MODULY_CBA!$B$3:$L$23,8,0)=$D58,SUMIF('Rozpocet - Vyvoj aplikacii'!$B$3:$B$179,'TCO TO BE- SW'!N$2,'Rozpocet - Vyvoj aplikacii'!$I$3:$I$179),0),0)</f>
        <v>14132.584860694387</v>
      </c>
      <c r="O58" s="565">
        <f>IFERROR(IF(VLOOKUP(O$2,MODULY_CBA!$B$3:$L$23,8,0)=$D58,SUMIF('Rozpocet - Vyvoj aplikacii'!$B$3:$B$179,'TCO TO BE- SW'!O$2,'Rozpocet - Vyvoj aplikacii'!$I$3:$I$179),0),0)</f>
        <v>0</v>
      </c>
      <c r="P58" s="565">
        <f>IFERROR(IF(VLOOKUP(P$2,MODULY_CBA!$B$3:$L$23,8,0)=$D58,SUMIF('Rozpocet - Vyvoj aplikacii'!$B$3:$B$179,'TCO TO BE- SW'!P$2,'Rozpocet - Vyvoj aplikacii'!$I$3:$I$179),0),0)</f>
        <v>0</v>
      </c>
      <c r="Q58" s="565">
        <f>IFERROR(IF(VLOOKUP(Q$2,MODULY_CBA!$B$3:$L$23,8,0)=$D58,SUMIF('Rozpocet - Vyvoj aplikacii'!$B$3:$B$179,'TCO TO BE- SW'!Q$2,'Rozpocet - Vyvoj aplikacii'!$I$3:$I$179),0),0)</f>
        <v>0</v>
      </c>
      <c r="R58" s="565">
        <f>IFERROR(IF(VLOOKUP(R$2,MODULY_CBA!$B$3:$L$23,8,0)=$D58,SUMIF('Rozpocet - Vyvoj aplikacii'!$B$3:$B$179,'TCO TO BE- SW'!R$2,'Rozpocet - Vyvoj aplikacii'!$I$3:$I$179),0),0)</f>
        <v>0</v>
      </c>
      <c r="S58" s="565">
        <f>IFERROR(IF(VLOOKUP(S$2,MODULY_CBA!$B$3:$L$23,8,0)=$D58,SUMIF('Rozpocet - Vyvoj aplikacii'!$B$3:$B$179,'TCO TO BE- SW'!S$2,'Rozpocet - Vyvoj aplikacii'!$I$3:$I$179),0),0)</f>
        <v>0</v>
      </c>
      <c r="T58" s="565">
        <f>IFERROR(IF(VLOOKUP(T$2,MODULY_CBA!$B$3:$L$23,8,0)=$D58,SUMIF('Rozpocet - Vyvoj aplikacii'!$B$3:$B$179,'TCO TO BE- SW'!T$2,'Rozpocet - Vyvoj aplikacii'!$I$3:$I$179),0),0)</f>
        <v>0</v>
      </c>
      <c r="U58" s="565">
        <f>IFERROR(IF(VLOOKUP(U$2,MODULY_CBA!$B$3:$L$23,8,0)=$D58,SUMIF('Rozpocet - Vyvoj aplikacii'!$B$3:$B$179,'TCO TO BE- SW'!U$2,'Rozpocet - Vyvoj aplikacii'!$I$3:$I$179),0),0)</f>
        <v>0</v>
      </c>
      <c r="V58" s="565">
        <f>IFERROR(IF(VLOOKUP(V$2,MODULY_CBA!$B$3:$L$23,8,0)=$D58,SUMIF('Rozpocet - Vyvoj aplikacii'!$B$3:$B$179,'TCO TO BE- SW'!V$2,'Rozpocet - Vyvoj aplikacii'!$I$3:$I$179),0),0)</f>
        <v>0</v>
      </c>
      <c r="W58" s="565">
        <f>IFERROR(IF(VLOOKUP(W$2,MODULY_CBA!$B$3:$L$23,8,0)=$D58,SUMIF('Rozpocet - Vyvoj aplikacii'!$B$3:$B$179,'TCO TO BE- SW'!W$2,'Rozpocet - Vyvoj aplikacii'!$I$3:$I$179),0),0)</f>
        <v>0</v>
      </c>
      <c r="X58" s="565">
        <f>IFERROR(IF(VLOOKUP(X$2,MODULY_CBA!$B$3:$L$23,8,0)=$D58,SUMIF('Rozpocet - Vyvoj aplikacii'!$B$3:$B$179,'TCO TO BE- SW'!X$2,'Rozpocet - Vyvoj aplikacii'!$I$3:$I$179),0),0)</f>
        <v>0</v>
      </c>
      <c r="Y58" s="565">
        <f>IFERROR(IF(VLOOKUP(Y$2,MODULY_CBA!$B$3:$L$23,8,0)=$D58,SUMIF('Rozpocet - Vyvoj aplikacii'!$B$3:$B$179,'TCO TO BE- SW'!Y$2,'Rozpocet - Vyvoj aplikacii'!$I$3:$I$179),0),0)</f>
        <v>0</v>
      </c>
      <c r="Z58" s="565">
        <f>IFERROR(IF(VLOOKUP(Z$2,MODULY_CBA!$B$3:$L$23,8,0)=$D58,SUMIF('Rozpocet - Vyvoj aplikacii'!$B$3:$B$179,'TCO TO BE- SW'!Z$2,'Rozpocet - Vyvoj aplikacii'!$I$3:$I$179),0),0)</f>
        <v>0</v>
      </c>
    </row>
    <row r="59" spans="1:26" outlineLevel="2">
      <c r="A59" s="807"/>
      <c r="B59" s="808"/>
      <c r="C59" s="808"/>
      <c r="D59" s="64">
        <v>3</v>
      </c>
      <c r="E59" s="68">
        <f t="shared" si="7"/>
        <v>169686.72432061721</v>
      </c>
      <c r="F59" s="565">
        <f>IFERROR(IF(VLOOKUP(F$2,MODULY_CBA!$B$3:$L$23,8,0)=$D59,SUMIF('Rozpocet - Vyvoj aplikacii'!$B$3:$B$179,'TCO TO BE- SW'!F$2,'Rozpocet - Vyvoj aplikacii'!$I$3:$I$179),0),0)</f>
        <v>0</v>
      </c>
      <c r="G59" s="565">
        <f>IFERROR(IF(VLOOKUP(G$2,MODULY_CBA!$B$3:$L$23,8,0)=$D59,SUMIF('Rozpocet - Vyvoj aplikacii'!$B$3:$B$179,'TCO TO BE- SW'!G$2,'Rozpocet - Vyvoj aplikacii'!$I$3:$I$179),0),0)</f>
        <v>0</v>
      </c>
      <c r="H59" s="565">
        <f>IFERROR(IF(VLOOKUP(H$2,MODULY_CBA!$B$3:$L$23,8,0)=$D59,SUMIF('Rozpocet - Vyvoj aplikacii'!$B$3:$B$179,'TCO TO BE- SW'!H$2,'Rozpocet - Vyvoj aplikacii'!$I$3:$I$179),0),0)</f>
        <v>0</v>
      </c>
      <c r="I59" s="565">
        <f>IFERROR(IF(VLOOKUP(I$2,MODULY_CBA!$B$3:$L$23,8,0)=$D59,SUMIF('Rozpocet - Vyvoj aplikacii'!$B$3:$B$179,'TCO TO BE- SW'!I$2,'Rozpocet - Vyvoj aplikacii'!$I$3:$I$179),0),0)</f>
        <v>0</v>
      </c>
      <c r="J59" s="565">
        <f>IFERROR(IF(VLOOKUP(J$2,MODULY_CBA!$B$3:$L$23,8,0)=$D59,SUMIF('Rozpocet - Vyvoj aplikacii'!$B$3:$B$179,'TCO TO BE- SW'!J$2,'Rozpocet - Vyvoj aplikacii'!$I$3:$I$179),0),0)</f>
        <v>0</v>
      </c>
      <c r="K59" s="565">
        <f>IFERROR(IF(VLOOKUP(K$2,MODULY_CBA!$B$3:$L$23,8,0)=$D59,SUMIF('Rozpocet - Vyvoj aplikacii'!$B$3:$B$179,'TCO TO BE- SW'!K$2,'Rozpocet - Vyvoj aplikacii'!$I$3:$I$179),0),0)</f>
        <v>0</v>
      </c>
      <c r="L59" s="565">
        <f>IFERROR(IF(VLOOKUP(L$2,MODULY_CBA!$B$3:$L$23,8,0)=$D59,SUMIF('Rozpocet - Vyvoj aplikacii'!$B$3:$B$179,'TCO TO BE- SW'!L$2,'Rozpocet - Vyvoj aplikacii'!$I$3:$I$179),0),0)</f>
        <v>0</v>
      </c>
      <c r="M59" s="565">
        <f>IFERROR(IF(VLOOKUP(M$2,MODULY_CBA!$B$3:$L$23,8,0)=$D59,SUMIF('Rozpocet - Vyvoj aplikacii'!$B$3:$B$179,'TCO TO BE- SW'!M$2,'Rozpocet - Vyvoj aplikacii'!$I$3:$I$179),0),0)</f>
        <v>0</v>
      </c>
      <c r="N59" s="565">
        <f>IFERROR(IF(VLOOKUP(N$2,MODULY_CBA!$B$3:$L$23,8,0)=$D59,SUMIF('Rozpocet - Vyvoj aplikacii'!$B$3:$B$179,'TCO TO BE- SW'!N$2,'Rozpocet - Vyvoj aplikacii'!$I$3:$I$179),0),0)</f>
        <v>0</v>
      </c>
      <c r="O59" s="565">
        <f>IFERROR(IF(VLOOKUP(O$2,MODULY_CBA!$B$3:$L$23,8,0)=$D59,SUMIF('Rozpocet - Vyvoj aplikacii'!$B$3:$B$179,'TCO TO BE- SW'!O$2,'Rozpocet - Vyvoj aplikacii'!$I$3:$I$179),0),0)</f>
        <v>21214.828289755682</v>
      </c>
      <c r="P59" s="565">
        <f>IFERROR(IF(VLOOKUP(P$2,MODULY_CBA!$B$3:$L$23,8,0)=$D59,SUMIF('Rozpocet - Vyvoj aplikacii'!$B$3:$B$179,'TCO TO BE- SW'!P$2,'Rozpocet - Vyvoj aplikacii'!$I$3:$I$179),0),0)</f>
        <v>16493.332670381486</v>
      </c>
      <c r="Q59" s="565">
        <f>IFERROR(IF(VLOOKUP(Q$2,MODULY_CBA!$B$3:$L$23,8,0)=$D59,SUMIF('Rozpocet - Vyvoj aplikacii'!$B$3:$B$179,'TCO TO BE- SW'!Q$2,'Rozpocet - Vyvoj aplikacii'!$I$3:$I$179),0),0)</f>
        <v>11771.837051007287</v>
      </c>
      <c r="R59" s="565">
        <f>IFERROR(IF(VLOOKUP(R$2,MODULY_CBA!$B$3:$L$23,8,0)=$D59,SUMIF('Rozpocet - Vyvoj aplikacii'!$B$3:$B$179,'TCO TO BE- SW'!R$2,'Rozpocet - Vyvoj aplikacii'!$I$3:$I$179),0),0)</f>
        <v>11771.837051007287</v>
      </c>
      <c r="S59" s="565">
        <f>IFERROR(IF(VLOOKUP(S$2,MODULY_CBA!$B$3:$L$23,8,0)=$D59,SUMIF('Rozpocet - Vyvoj aplikacii'!$B$3:$B$179,'TCO TO BE- SW'!S$2,'Rozpocet - Vyvoj aplikacii'!$I$3:$I$179),0),0)</f>
        <v>17673.706575225035</v>
      </c>
      <c r="T59" s="565">
        <f>IFERROR(IF(VLOOKUP(T$2,MODULY_CBA!$B$3:$L$23,8,0)=$D59,SUMIF('Rozpocet - Vyvoj aplikacii'!$B$3:$B$179,'TCO TO BE- SW'!T$2,'Rozpocet - Vyvoj aplikacii'!$I$3:$I$179),0),0)</f>
        <v>20034.454384912133</v>
      </c>
      <c r="U59" s="565">
        <f>IFERROR(IF(VLOOKUP(U$2,MODULY_CBA!$B$3:$L$23,8,0)=$D59,SUMIF('Rozpocet - Vyvoj aplikacii'!$B$3:$B$179,'TCO TO BE- SW'!U$2,'Rozpocet - Vyvoj aplikacii'!$I$3:$I$179),0),0)</f>
        <v>18854.080480068584</v>
      </c>
      <c r="V59" s="565">
        <f>IFERROR(IF(VLOOKUP(V$2,MODULY_CBA!$B$3:$L$23,8,0)=$D59,SUMIF('Rozpocet - Vyvoj aplikacii'!$B$3:$B$179,'TCO TO BE- SW'!V$2,'Rozpocet - Vyvoj aplikacii'!$I$3:$I$179),0),0)</f>
        <v>9442.9912387483928</v>
      </c>
      <c r="W59" s="565">
        <f>IFERROR(IF(VLOOKUP(W$2,MODULY_CBA!$B$3:$L$23,8,0)=$D59,SUMIF('Rozpocet - Vyvoj aplikacii'!$B$3:$B$179,'TCO TO BE- SW'!W$2,'Rozpocet - Vyvoj aplikacii'!$I$3:$I$179),0),0)</f>
        <v>16493.332670381486</v>
      </c>
      <c r="X59" s="565">
        <f>IFERROR(IF(VLOOKUP(X$2,MODULY_CBA!$B$3:$L$23,8,0)=$D59,SUMIF('Rozpocet - Vyvoj aplikacii'!$B$3:$B$179,'TCO TO BE- SW'!X$2,'Rozpocet - Vyvoj aplikacii'!$I$3:$I$179),0),0)</f>
        <v>18854.080480068584</v>
      </c>
      <c r="Y59" s="565">
        <f>IFERROR(IF(VLOOKUP(Y$2,MODULY_CBA!$B$3:$L$23,8,0)=$D59,SUMIF('Rozpocet - Vyvoj aplikacii'!$B$3:$B$179,'TCO TO BE- SW'!Y$2,'Rozpocet - Vyvoj aplikacii'!$I$3:$I$179),0),0)</f>
        <v>7082.2434290612946</v>
      </c>
      <c r="Z59" s="565">
        <f>IFERROR(IF(VLOOKUP(Z$2,MODULY_CBA!$B$3:$L$23,8,0)=$D59,SUMIF('Rozpocet - Vyvoj aplikacii'!$B$3:$B$179,'TCO TO BE- SW'!Z$2,'Rozpocet - Vyvoj aplikacii'!$I$3:$I$179),0),0)</f>
        <v>0</v>
      </c>
    </row>
    <row r="60" spans="1:26" outlineLevel="2">
      <c r="A60" s="807"/>
      <c r="B60" s="808"/>
      <c r="C60" s="808"/>
      <c r="D60" s="64">
        <v>4</v>
      </c>
      <c r="E60" s="68">
        <f t="shared" si="7"/>
        <v>0</v>
      </c>
      <c r="F60" s="565">
        <f>IFERROR(IF(VLOOKUP(F$2,MODULY_CBA!$B$3:$L$23,8,0)=$D60,SUMIF('Rozpocet - Vyvoj aplikacii'!$B$3:$B$179,'TCO TO BE- SW'!F$2,'Rozpocet - Vyvoj aplikacii'!$I$3:$I$179),0),0)</f>
        <v>0</v>
      </c>
      <c r="G60" s="565">
        <f>IFERROR(IF(VLOOKUP(G$2,MODULY_CBA!$B$3:$L$23,8,0)=$D60,SUMIF('Rozpocet - Vyvoj aplikacii'!$B$3:$B$179,'TCO TO BE- SW'!G$2,'Rozpocet - Vyvoj aplikacii'!$I$3:$I$179),0),0)</f>
        <v>0</v>
      </c>
      <c r="H60" s="565">
        <f>IFERROR(IF(VLOOKUP(H$2,MODULY_CBA!$B$3:$L$23,8,0)=$D60,SUMIF('Rozpocet - Vyvoj aplikacii'!$B$3:$B$179,'TCO TO BE- SW'!H$2,'Rozpocet - Vyvoj aplikacii'!$I$3:$I$179),0),0)</f>
        <v>0</v>
      </c>
      <c r="I60" s="565">
        <f>IFERROR(IF(VLOOKUP(I$2,MODULY_CBA!$B$3:$L$23,8,0)=$D60,SUMIF('Rozpocet - Vyvoj aplikacii'!$B$3:$B$179,'TCO TO BE- SW'!I$2,'Rozpocet - Vyvoj aplikacii'!$I$3:$I$179),0),0)</f>
        <v>0</v>
      </c>
      <c r="J60" s="565">
        <f>IFERROR(IF(VLOOKUP(J$2,MODULY_CBA!$B$3:$L$23,8,0)=$D60,SUMIF('Rozpocet - Vyvoj aplikacii'!$B$3:$B$179,'TCO TO BE- SW'!J$2,'Rozpocet - Vyvoj aplikacii'!$I$3:$I$179),0),0)</f>
        <v>0</v>
      </c>
      <c r="K60" s="565">
        <f>IFERROR(IF(VLOOKUP(K$2,MODULY_CBA!$B$3:$L$23,8,0)=$D60,SUMIF('Rozpocet - Vyvoj aplikacii'!$B$3:$B$179,'TCO TO BE- SW'!K$2,'Rozpocet - Vyvoj aplikacii'!$I$3:$I$179),0),0)</f>
        <v>0</v>
      </c>
      <c r="L60" s="565">
        <f>IFERROR(IF(VLOOKUP(L$2,MODULY_CBA!$B$3:$L$23,8,0)=$D60,SUMIF('Rozpocet - Vyvoj aplikacii'!$B$3:$B$179,'TCO TO BE- SW'!L$2,'Rozpocet - Vyvoj aplikacii'!$I$3:$I$179),0),0)</f>
        <v>0</v>
      </c>
      <c r="M60" s="565">
        <f>IFERROR(IF(VLOOKUP(M$2,MODULY_CBA!$B$3:$L$23,8,0)=$D60,SUMIF('Rozpocet - Vyvoj aplikacii'!$B$3:$B$179,'TCO TO BE- SW'!M$2,'Rozpocet - Vyvoj aplikacii'!$I$3:$I$179),0),0)</f>
        <v>0</v>
      </c>
      <c r="N60" s="565">
        <f>IFERROR(IF(VLOOKUP(N$2,MODULY_CBA!$B$3:$L$23,8,0)=$D60,SUMIF('Rozpocet - Vyvoj aplikacii'!$B$3:$B$179,'TCO TO BE- SW'!N$2,'Rozpocet - Vyvoj aplikacii'!$I$3:$I$179),0),0)</f>
        <v>0</v>
      </c>
      <c r="O60" s="565">
        <f>IFERROR(IF(VLOOKUP(O$2,MODULY_CBA!$B$3:$L$23,8,0)=$D60,SUMIF('Rozpocet - Vyvoj aplikacii'!$B$3:$B$179,'TCO TO BE- SW'!O$2,'Rozpocet - Vyvoj aplikacii'!$I$3:$I$179),0),0)</f>
        <v>0</v>
      </c>
      <c r="P60" s="565">
        <f>IFERROR(IF(VLOOKUP(P$2,MODULY_CBA!$B$3:$L$23,8,0)=$D60,SUMIF('Rozpocet - Vyvoj aplikacii'!$B$3:$B$179,'TCO TO BE- SW'!P$2,'Rozpocet - Vyvoj aplikacii'!$I$3:$I$179),0),0)</f>
        <v>0</v>
      </c>
      <c r="Q60" s="565">
        <f>IFERROR(IF(VLOOKUP(Q$2,MODULY_CBA!$B$3:$L$23,8,0)=$D60,SUMIF('Rozpocet - Vyvoj aplikacii'!$B$3:$B$179,'TCO TO BE- SW'!Q$2,'Rozpocet - Vyvoj aplikacii'!$I$3:$I$179),0),0)</f>
        <v>0</v>
      </c>
      <c r="R60" s="565">
        <f>IFERROR(IF(VLOOKUP(R$2,MODULY_CBA!$B$3:$L$23,8,0)=$D60,SUMIF('Rozpocet - Vyvoj aplikacii'!$B$3:$B$179,'TCO TO BE- SW'!R$2,'Rozpocet - Vyvoj aplikacii'!$I$3:$I$179),0),0)</f>
        <v>0</v>
      </c>
      <c r="S60" s="565">
        <f>IFERROR(IF(VLOOKUP(S$2,MODULY_CBA!$B$3:$L$23,8,0)=$D60,SUMIF('Rozpocet - Vyvoj aplikacii'!$B$3:$B$179,'TCO TO BE- SW'!S$2,'Rozpocet - Vyvoj aplikacii'!$I$3:$I$179),0),0)</f>
        <v>0</v>
      </c>
      <c r="T60" s="565">
        <f>IFERROR(IF(VLOOKUP(T$2,MODULY_CBA!$B$3:$L$23,8,0)=$D60,SUMIF('Rozpocet - Vyvoj aplikacii'!$B$3:$B$179,'TCO TO BE- SW'!T$2,'Rozpocet - Vyvoj aplikacii'!$I$3:$I$179),0),0)</f>
        <v>0</v>
      </c>
      <c r="U60" s="565">
        <f>IFERROR(IF(VLOOKUP(U$2,MODULY_CBA!$B$3:$L$23,8,0)=$D60,SUMIF('Rozpocet - Vyvoj aplikacii'!$B$3:$B$179,'TCO TO BE- SW'!U$2,'Rozpocet - Vyvoj aplikacii'!$I$3:$I$179),0),0)</f>
        <v>0</v>
      </c>
      <c r="V60" s="565">
        <f>IFERROR(IF(VLOOKUP(V$2,MODULY_CBA!$B$3:$L$23,8,0)=$D60,SUMIF('Rozpocet - Vyvoj aplikacii'!$B$3:$B$179,'TCO TO BE- SW'!V$2,'Rozpocet - Vyvoj aplikacii'!$I$3:$I$179),0),0)</f>
        <v>0</v>
      </c>
      <c r="W60" s="565">
        <f>IFERROR(IF(VLOOKUP(W$2,MODULY_CBA!$B$3:$L$23,8,0)=$D60,SUMIF('Rozpocet - Vyvoj aplikacii'!$B$3:$B$179,'TCO TO BE- SW'!W$2,'Rozpocet - Vyvoj aplikacii'!$I$3:$I$179),0),0)</f>
        <v>0</v>
      </c>
      <c r="X60" s="565">
        <f>IFERROR(IF(VLOOKUP(X$2,MODULY_CBA!$B$3:$L$23,8,0)=$D60,SUMIF('Rozpocet - Vyvoj aplikacii'!$B$3:$B$179,'TCO TO BE- SW'!X$2,'Rozpocet - Vyvoj aplikacii'!$I$3:$I$179),0),0)</f>
        <v>0</v>
      </c>
      <c r="Y60" s="565">
        <f>IFERROR(IF(VLOOKUP(Y$2,MODULY_CBA!$B$3:$L$23,8,0)=$D60,SUMIF('Rozpocet - Vyvoj aplikacii'!$B$3:$B$179,'TCO TO BE- SW'!Y$2,'Rozpocet - Vyvoj aplikacii'!$I$3:$I$179),0),0)</f>
        <v>0</v>
      </c>
      <c r="Z60" s="565">
        <f>IFERROR(IF(VLOOKUP(Z$2,MODULY_CBA!$B$3:$L$23,8,0)=$D60,SUMIF('Rozpocet - Vyvoj aplikacii'!$B$3:$B$179,'TCO TO BE- SW'!Z$2,'Rozpocet - Vyvoj aplikacii'!$I$3:$I$179),0),0)</f>
        <v>0</v>
      </c>
    </row>
    <row r="61" spans="1:26" outlineLevel="2">
      <c r="A61" s="807"/>
      <c r="B61" s="808"/>
      <c r="C61" s="808"/>
      <c r="D61" s="64">
        <v>5</v>
      </c>
      <c r="E61" s="68">
        <f t="shared" si="7"/>
        <v>0</v>
      </c>
      <c r="F61" s="565">
        <f>IFERROR(IF(VLOOKUP(F$2,MODULY_CBA!$B$3:$L$23,8,0)=$D61,SUMIF('Rozpocet - Vyvoj aplikacii'!$B$3:$B$179,'TCO TO BE- SW'!F$2,'Rozpocet - Vyvoj aplikacii'!$I$3:$I$179),0),0)</f>
        <v>0</v>
      </c>
      <c r="G61" s="565">
        <f>IFERROR(IF(VLOOKUP(G$2,MODULY_CBA!$B$3:$L$23,8,0)=$D61,SUMIF('Rozpocet - Vyvoj aplikacii'!$B$3:$B$179,'TCO TO BE- SW'!G$2,'Rozpocet - Vyvoj aplikacii'!$I$3:$I$179),0),0)</f>
        <v>0</v>
      </c>
      <c r="H61" s="565">
        <f>IFERROR(IF(VLOOKUP(H$2,MODULY_CBA!$B$3:$L$23,8,0)=$D61,SUMIF('Rozpocet - Vyvoj aplikacii'!$B$3:$B$179,'TCO TO BE- SW'!H$2,'Rozpocet - Vyvoj aplikacii'!$I$3:$I$179),0),0)</f>
        <v>0</v>
      </c>
      <c r="I61" s="565">
        <f>IFERROR(IF(VLOOKUP(I$2,MODULY_CBA!$B$3:$L$23,8,0)=$D61,SUMIF('Rozpocet - Vyvoj aplikacii'!$B$3:$B$179,'TCO TO BE- SW'!I$2,'Rozpocet - Vyvoj aplikacii'!$I$3:$I$179),0),0)</f>
        <v>0</v>
      </c>
      <c r="J61" s="565">
        <f>IFERROR(IF(VLOOKUP(J$2,MODULY_CBA!$B$3:$L$23,8,0)=$D61,SUMIF('Rozpocet - Vyvoj aplikacii'!$B$3:$B$179,'TCO TO BE- SW'!J$2,'Rozpocet - Vyvoj aplikacii'!$I$3:$I$179),0),0)</f>
        <v>0</v>
      </c>
      <c r="K61" s="565">
        <f>IFERROR(IF(VLOOKUP(K$2,MODULY_CBA!$B$3:$L$23,8,0)=$D61,SUMIF('Rozpocet - Vyvoj aplikacii'!$B$3:$B$179,'TCO TO BE- SW'!K$2,'Rozpocet - Vyvoj aplikacii'!$I$3:$I$179),0),0)</f>
        <v>0</v>
      </c>
      <c r="L61" s="565">
        <f>IFERROR(IF(VLOOKUP(L$2,MODULY_CBA!$B$3:$L$23,8,0)=$D61,SUMIF('Rozpocet - Vyvoj aplikacii'!$B$3:$B$179,'TCO TO BE- SW'!L$2,'Rozpocet - Vyvoj aplikacii'!$I$3:$I$179),0),0)</f>
        <v>0</v>
      </c>
      <c r="M61" s="565">
        <f>IFERROR(IF(VLOOKUP(M$2,MODULY_CBA!$B$3:$L$23,8,0)=$D61,SUMIF('Rozpocet - Vyvoj aplikacii'!$B$3:$B$179,'TCO TO BE- SW'!M$2,'Rozpocet - Vyvoj aplikacii'!$I$3:$I$179),0),0)</f>
        <v>0</v>
      </c>
      <c r="N61" s="565">
        <f>IFERROR(IF(VLOOKUP(N$2,MODULY_CBA!$B$3:$L$23,8,0)=$D61,SUMIF('Rozpocet - Vyvoj aplikacii'!$B$3:$B$179,'TCO TO BE- SW'!N$2,'Rozpocet - Vyvoj aplikacii'!$I$3:$I$179),0),0)</f>
        <v>0</v>
      </c>
      <c r="O61" s="565">
        <f>IFERROR(IF(VLOOKUP(O$2,MODULY_CBA!$B$3:$L$23,8,0)=$D61,SUMIF('Rozpocet - Vyvoj aplikacii'!$B$3:$B$179,'TCO TO BE- SW'!O$2,'Rozpocet - Vyvoj aplikacii'!$I$3:$I$179),0),0)</f>
        <v>0</v>
      </c>
      <c r="P61" s="565">
        <f>IFERROR(IF(VLOOKUP(P$2,MODULY_CBA!$B$3:$L$23,8,0)=$D61,SUMIF('Rozpocet - Vyvoj aplikacii'!$B$3:$B$179,'TCO TO BE- SW'!P$2,'Rozpocet - Vyvoj aplikacii'!$I$3:$I$179),0),0)</f>
        <v>0</v>
      </c>
      <c r="Q61" s="565">
        <f>IFERROR(IF(VLOOKUP(Q$2,MODULY_CBA!$B$3:$L$23,8,0)=$D61,SUMIF('Rozpocet - Vyvoj aplikacii'!$B$3:$B$179,'TCO TO BE- SW'!Q$2,'Rozpocet - Vyvoj aplikacii'!$I$3:$I$179),0),0)</f>
        <v>0</v>
      </c>
      <c r="R61" s="565">
        <f>IFERROR(IF(VLOOKUP(R$2,MODULY_CBA!$B$3:$L$23,8,0)=$D61,SUMIF('Rozpocet - Vyvoj aplikacii'!$B$3:$B$179,'TCO TO BE- SW'!R$2,'Rozpocet - Vyvoj aplikacii'!$I$3:$I$179),0),0)</f>
        <v>0</v>
      </c>
      <c r="S61" s="565">
        <f>IFERROR(IF(VLOOKUP(S$2,MODULY_CBA!$B$3:$L$23,8,0)=$D61,SUMIF('Rozpocet - Vyvoj aplikacii'!$B$3:$B$179,'TCO TO BE- SW'!S$2,'Rozpocet - Vyvoj aplikacii'!$I$3:$I$179),0),0)</f>
        <v>0</v>
      </c>
      <c r="T61" s="565">
        <f>IFERROR(IF(VLOOKUP(T$2,MODULY_CBA!$B$3:$L$23,8,0)=$D61,SUMIF('Rozpocet - Vyvoj aplikacii'!$B$3:$B$179,'TCO TO BE- SW'!T$2,'Rozpocet - Vyvoj aplikacii'!$I$3:$I$179),0),0)</f>
        <v>0</v>
      </c>
      <c r="U61" s="565">
        <f>IFERROR(IF(VLOOKUP(U$2,MODULY_CBA!$B$3:$L$23,8,0)=$D61,SUMIF('Rozpocet - Vyvoj aplikacii'!$B$3:$B$179,'TCO TO BE- SW'!U$2,'Rozpocet - Vyvoj aplikacii'!$I$3:$I$179),0),0)</f>
        <v>0</v>
      </c>
      <c r="V61" s="565">
        <f>IFERROR(IF(VLOOKUP(V$2,MODULY_CBA!$B$3:$L$23,8,0)=$D61,SUMIF('Rozpocet - Vyvoj aplikacii'!$B$3:$B$179,'TCO TO BE- SW'!V$2,'Rozpocet - Vyvoj aplikacii'!$I$3:$I$179),0),0)</f>
        <v>0</v>
      </c>
      <c r="W61" s="565">
        <f>IFERROR(IF(VLOOKUP(W$2,MODULY_CBA!$B$3:$L$23,8,0)=$D61,SUMIF('Rozpocet - Vyvoj aplikacii'!$B$3:$B$179,'TCO TO BE- SW'!W$2,'Rozpocet - Vyvoj aplikacii'!$I$3:$I$179),0),0)</f>
        <v>0</v>
      </c>
      <c r="X61" s="565">
        <f>IFERROR(IF(VLOOKUP(X$2,MODULY_CBA!$B$3:$L$23,8,0)=$D61,SUMIF('Rozpocet - Vyvoj aplikacii'!$B$3:$B$179,'TCO TO BE- SW'!X$2,'Rozpocet - Vyvoj aplikacii'!$I$3:$I$179),0),0)</f>
        <v>0</v>
      </c>
      <c r="Y61" s="565">
        <f>IFERROR(IF(VLOOKUP(Y$2,MODULY_CBA!$B$3:$L$23,8,0)=$D61,SUMIF('Rozpocet - Vyvoj aplikacii'!$B$3:$B$179,'TCO TO BE- SW'!Y$2,'Rozpocet - Vyvoj aplikacii'!$I$3:$I$179),0),0)</f>
        <v>0</v>
      </c>
      <c r="Z61" s="565">
        <f>IFERROR(IF(VLOOKUP(Z$2,MODULY_CBA!$B$3:$L$23,8,0)=$D61,SUMIF('Rozpocet - Vyvoj aplikacii'!$B$3:$B$179,'TCO TO BE- SW'!Z$2,'Rozpocet - Vyvoj aplikacii'!$I$3:$I$179),0),0)</f>
        <v>0</v>
      </c>
    </row>
    <row r="62" spans="1:26" outlineLevel="2">
      <c r="A62" s="807"/>
      <c r="B62" s="808"/>
      <c r="C62" s="808"/>
      <c r="D62" s="64">
        <v>6</v>
      </c>
      <c r="E62" s="68">
        <f t="shared" si="7"/>
        <v>0</v>
      </c>
      <c r="F62" s="565">
        <f>IFERROR(IF(VLOOKUP(F$2,MODULY_CBA!$B$3:$L$23,8,0)=$D62,SUMIF('Rozpocet - Vyvoj aplikacii'!$B$3:$B$179,'TCO TO BE- SW'!F$2,'Rozpocet - Vyvoj aplikacii'!$I$3:$I$179),0),0)</f>
        <v>0</v>
      </c>
      <c r="G62" s="565">
        <f>IFERROR(IF(VLOOKUP(G$2,MODULY_CBA!$B$3:$L$23,8,0)=$D62,SUMIF('Rozpocet - Vyvoj aplikacii'!$B$3:$B$179,'TCO TO BE- SW'!G$2,'Rozpocet - Vyvoj aplikacii'!$I$3:$I$179),0),0)</f>
        <v>0</v>
      </c>
      <c r="H62" s="565">
        <f>IFERROR(IF(VLOOKUP(H$2,MODULY_CBA!$B$3:$L$23,8,0)=$D62,SUMIF('Rozpocet - Vyvoj aplikacii'!$B$3:$B$179,'TCO TO BE- SW'!H$2,'Rozpocet - Vyvoj aplikacii'!$I$3:$I$179),0),0)</f>
        <v>0</v>
      </c>
      <c r="I62" s="565">
        <f>IFERROR(IF(VLOOKUP(I$2,MODULY_CBA!$B$3:$L$23,8,0)=$D62,SUMIF('Rozpocet - Vyvoj aplikacii'!$B$3:$B$179,'TCO TO BE- SW'!I$2,'Rozpocet - Vyvoj aplikacii'!$I$3:$I$179),0),0)</f>
        <v>0</v>
      </c>
      <c r="J62" s="565">
        <f>IFERROR(IF(VLOOKUP(J$2,MODULY_CBA!$B$3:$L$23,8,0)=$D62,SUMIF('Rozpocet - Vyvoj aplikacii'!$B$3:$B$179,'TCO TO BE- SW'!J$2,'Rozpocet - Vyvoj aplikacii'!$I$3:$I$179),0),0)</f>
        <v>0</v>
      </c>
      <c r="K62" s="565">
        <f>IFERROR(IF(VLOOKUP(K$2,MODULY_CBA!$B$3:$L$23,8,0)=$D62,SUMIF('Rozpocet - Vyvoj aplikacii'!$B$3:$B$179,'TCO TO BE- SW'!K$2,'Rozpocet - Vyvoj aplikacii'!$I$3:$I$179),0),0)</f>
        <v>0</v>
      </c>
      <c r="L62" s="565">
        <f>IFERROR(IF(VLOOKUP(L$2,MODULY_CBA!$B$3:$L$23,8,0)=$D62,SUMIF('Rozpocet - Vyvoj aplikacii'!$B$3:$B$179,'TCO TO BE- SW'!L$2,'Rozpocet - Vyvoj aplikacii'!$I$3:$I$179),0),0)</f>
        <v>0</v>
      </c>
      <c r="M62" s="565">
        <f>IFERROR(IF(VLOOKUP(M$2,MODULY_CBA!$B$3:$L$23,8,0)=$D62,SUMIF('Rozpocet - Vyvoj aplikacii'!$B$3:$B$179,'TCO TO BE- SW'!M$2,'Rozpocet - Vyvoj aplikacii'!$I$3:$I$179),0),0)</f>
        <v>0</v>
      </c>
      <c r="N62" s="565">
        <f>IFERROR(IF(VLOOKUP(N$2,MODULY_CBA!$B$3:$L$23,8,0)=$D62,SUMIF('Rozpocet - Vyvoj aplikacii'!$B$3:$B$179,'TCO TO BE- SW'!N$2,'Rozpocet - Vyvoj aplikacii'!$I$3:$I$179),0),0)</f>
        <v>0</v>
      </c>
      <c r="O62" s="565">
        <f>IFERROR(IF(VLOOKUP(O$2,MODULY_CBA!$B$3:$L$23,8,0)=$D62,SUMIF('Rozpocet - Vyvoj aplikacii'!$B$3:$B$179,'TCO TO BE- SW'!O$2,'Rozpocet - Vyvoj aplikacii'!$I$3:$I$179),0),0)</f>
        <v>0</v>
      </c>
      <c r="P62" s="565">
        <f>IFERROR(IF(VLOOKUP(P$2,MODULY_CBA!$B$3:$L$23,8,0)=$D62,SUMIF('Rozpocet - Vyvoj aplikacii'!$B$3:$B$179,'TCO TO BE- SW'!P$2,'Rozpocet - Vyvoj aplikacii'!$I$3:$I$179),0),0)</f>
        <v>0</v>
      </c>
      <c r="Q62" s="565">
        <f>IFERROR(IF(VLOOKUP(Q$2,MODULY_CBA!$B$3:$L$23,8,0)=$D62,SUMIF('Rozpocet - Vyvoj aplikacii'!$B$3:$B$179,'TCO TO BE- SW'!Q$2,'Rozpocet - Vyvoj aplikacii'!$I$3:$I$179),0),0)</f>
        <v>0</v>
      </c>
      <c r="R62" s="565">
        <f>IFERROR(IF(VLOOKUP(R$2,MODULY_CBA!$B$3:$L$23,8,0)=$D62,SUMIF('Rozpocet - Vyvoj aplikacii'!$B$3:$B$179,'TCO TO BE- SW'!R$2,'Rozpocet - Vyvoj aplikacii'!$I$3:$I$179),0),0)</f>
        <v>0</v>
      </c>
      <c r="S62" s="565">
        <f>IFERROR(IF(VLOOKUP(S$2,MODULY_CBA!$B$3:$L$23,8,0)=$D62,SUMIF('Rozpocet - Vyvoj aplikacii'!$B$3:$B$179,'TCO TO BE- SW'!S$2,'Rozpocet - Vyvoj aplikacii'!$I$3:$I$179),0),0)</f>
        <v>0</v>
      </c>
      <c r="T62" s="565">
        <f>IFERROR(IF(VLOOKUP(T$2,MODULY_CBA!$B$3:$L$23,8,0)=$D62,SUMIF('Rozpocet - Vyvoj aplikacii'!$B$3:$B$179,'TCO TO BE- SW'!T$2,'Rozpocet - Vyvoj aplikacii'!$I$3:$I$179),0),0)</f>
        <v>0</v>
      </c>
      <c r="U62" s="565">
        <f>IFERROR(IF(VLOOKUP(U$2,MODULY_CBA!$B$3:$L$23,8,0)=$D62,SUMIF('Rozpocet - Vyvoj aplikacii'!$B$3:$B$179,'TCO TO BE- SW'!U$2,'Rozpocet - Vyvoj aplikacii'!$I$3:$I$179),0),0)</f>
        <v>0</v>
      </c>
      <c r="V62" s="565">
        <f>IFERROR(IF(VLOOKUP(V$2,MODULY_CBA!$B$3:$L$23,8,0)=$D62,SUMIF('Rozpocet - Vyvoj aplikacii'!$B$3:$B$179,'TCO TO BE- SW'!V$2,'Rozpocet - Vyvoj aplikacii'!$I$3:$I$179),0),0)</f>
        <v>0</v>
      </c>
      <c r="W62" s="565">
        <f>IFERROR(IF(VLOOKUP(W$2,MODULY_CBA!$B$3:$L$23,8,0)=$D62,SUMIF('Rozpocet - Vyvoj aplikacii'!$B$3:$B$179,'TCO TO BE- SW'!W$2,'Rozpocet - Vyvoj aplikacii'!$I$3:$I$179),0),0)</f>
        <v>0</v>
      </c>
      <c r="X62" s="565">
        <f>IFERROR(IF(VLOOKUP(X$2,MODULY_CBA!$B$3:$L$23,8,0)=$D62,SUMIF('Rozpocet - Vyvoj aplikacii'!$B$3:$B$179,'TCO TO BE- SW'!X$2,'Rozpocet - Vyvoj aplikacii'!$I$3:$I$179),0),0)</f>
        <v>0</v>
      </c>
      <c r="Y62" s="565">
        <f>IFERROR(IF(VLOOKUP(Y$2,MODULY_CBA!$B$3:$L$23,8,0)=$D62,SUMIF('Rozpocet - Vyvoj aplikacii'!$B$3:$B$179,'TCO TO BE- SW'!Y$2,'Rozpocet - Vyvoj aplikacii'!$I$3:$I$179),0),0)</f>
        <v>0</v>
      </c>
      <c r="Z62" s="565">
        <f>IFERROR(IF(VLOOKUP(Z$2,MODULY_CBA!$B$3:$L$23,8,0)=$D62,SUMIF('Rozpocet - Vyvoj aplikacii'!$B$3:$B$179,'TCO TO BE- SW'!Z$2,'Rozpocet - Vyvoj aplikacii'!$I$3:$I$179),0),0)</f>
        <v>0</v>
      </c>
    </row>
    <row r="63" spans="1:26" outlineLevel="2">
      <c r="A63" s="807"/>
      <c r="B63" s="808"/>
      <c r="C63" s="808"/>
      <c r="D63" s="64">
        <v>7</v>
      </c>
      <c r="E63" s="68">
        <f t="shared" si="7"/>
        <v>0</v>
      </c>
      <c r="F63" s="565">
        <f>IFERROR(IF(VLOOKUP(F$2,MODULY_CBA!$B$3:$L$23,8,0)=$D63,SUMIF('Rozpocet - Vyvoj aplikacii'!$B$3:$B$179,'TCO TO BE- SW'!F$2,'Rozpocet - Vyvoj aplikacii'!$I$3:$I$179),0),0)</f>
        <v>0</v>
      </c>
      <c r="G63" s="565">
        <f>IFERROR(IF(VLOOKUP(G$2,MODULY_CBA!$B$3:$L$23,8,0)=$D63,SUMIF('Rozpocet - Vyvoj aplikacii'!$B$3:$B$179,'TCO TO BE- SW'!G$2,'Rozpocet - Vyvoj aplikacii'!$I$3:$I$179),0),0)</f>
        <v>0</v>
      </c>
      <c r="H63" s="565">
        <f>IFERROR(IF(VLOOKUP(H$2,MODULY_CBA!$B$3:$L$23,8,0)=$D63,SUMIF('Rozpocet - Vyvoj aplikacii'!$B$3:$B$179,'TCO TO BE- SW'!H$2,'Rozpocet - Vyvoj aplikacii'!$I$3:$I$179),0),0)</f>
        <v>0</v>
      </c>
      <c r="I63" s="565">
        <f>IFERROR(IF(VLOOKUP(I$2,MODULY_CBA!$B$3:$L$23,8,0)=$D63,SUMIF('Rozpocet - Vyvoj aplikacii'!$B$3:$B$179,'TCO TO BE- SW'!I$2,'Rozpocet - Vyvoj aplikacii'!$I$3:$I$179),0),0)</f>
        <v>0</v>
      </c>
      <c r="J63" s="565">
        <f>IFERROR(IF(VLOOKUP(J$2,MODULY_CBA!$B$3:$L$23,8,0)=$D63,SUMIF('Rozpocet - Vyvoj aplikacii'!$B$3:$B$179,'TCO TO BE- SW'!J$2,'Rozpocet - Vyvoj aplikacii'!$I$3:$I$179),0),0)</f>
        <v>0</v>
      </c>
      <c r="K63" s="565">
        <f>IFERROR(IF(VLOOKUP(K$2,MODULY_CBA!$B$3:$L$23,8,0)=$D63,SUMIF('Rozpocet - Vyvoj aplikacii'!$B$3:$B$179,'TCO TO BE- SW'!K$2,'Rozpocet - Vyvoj aplikacii'!$I$3:$I$179),0),0)</f>
        <v>0</v>
      </c>
      <c r="L63" s="565">
        <f>IFERROR(IF(VLOOKUP(L$2,MODULY_CBA!$B$3:$L$23,8,0)=$D63,SUMIF('Rozpocet - Vyvoj aplikacii'!$B$3:$B$179,'TCO TO BE- SW'!L$2,'Rozpocet - Vyvoj aplikacii'!$I$3:$I$179),0),0)</f>
        <v>0</v>
      </c>
      <c r="M63" s="565">
        <f>IFERROR(IF(VLOOKUP(M$2,MODULY_CBA!$B$3:$L$23,8,0)=$D63,SUMIF('Rozpocet - Vyvoj aplikacii'!$B$3:$B$179,'TCO TO BE- SW'!M$2,'Rozpocet - Vyvoj aplikacii'!$I$3:$I$179),0),0)</f>
        <v>0</v>
      </c>
      <c r="N63" s="565">
        <f>IFERROR(IF(VLOOKUP(N$2,MODULY_CBA!$B$3:$L$23,8,0)=$D63,SUMIF('Rozpocet - Vyvoj aplikacii'!$B$3:$B$179,'TCO TO BE- SW'!N$2,'Rozpocet - Vyvoj aplikacii'!$I$3:$I$179),0),0)</f>
        <v>0</v>
      </c>
      <c r="O63" s="565">
        <f>IFERROR(IF(VLOOKUP(O$2,MODULY_CBA!$B$3:$L$23,8,0)=$D63,SUMIF('Rozpocet - Vyvoj aplikacii'!$B$3:$B$179,'TCO TO BE- SW'!O$2,'Rozpocet - Vyvoj aplikacii'!$I$3:$I$179),0),0)</f>
        <v>0</v>
      </c>
      <c r="P63" s="565">
        <f>IFERROR(IF(VLOOKUP(P$2,MODULY_CBA!$B$3:$L$23,8,0)=$D63,SUMIF('Rozpocet - Vyvoj aplikacii'!$B$3:$B$179,'TCO TO BE- SW'!P$2,'Rozpocet - Vyvoj aplikacii'!$I$3:$I$179),0),0)</f>
        <v>0</v>
      </c>
      <c r="Q63" s="565">
        <f>IFERROR(IF(VLOOKUP(Q$2,MODULY_CBA!$B$3:$L$23,8,0)=$D63,SUMIF('Rozpocet - Vyvoj aplikacii'!$B$3:$B$179,'TCO TO BE- SW'!Q$2,'Rozpocet - Vyvoj aplikacii'!$I$3:$I$179),0),0)</f>
        <v>0</v>
      </c>
      <c r="R63" s="565">
        <f>IFERROR(IF(VLOOKUP(R$2,MODULY_CBA!$B$3:$L$23,8,0)=$D63,SUMIF('Rozpocet - Vyvoj aplikacii'!$B$3:$B$179,'TCO TO BE- SW'!R$2,'Rozpocet - Vyvoj aplikacii'!$I$3:$I$179),0),0)</f>
        <v>0</v>
      </c>
      <c r="S63" s="565">
        <f>IFERROR(IF(VLOOKUP(S$2,MODULY_CBA!$B$3:$L$23,8,0)=$D63,SUMIF('Rozpocet - Vyvoj aplikacii'!$B$3:$B$179,'TCO TO BE- SW'!S$2,'Rozpocet - Vyvoj aplikacii'!$I$3:$I$179),0),0)</f>
        <v>0</v>
      </c>
      <c r="T63" s="565">
        <f>IFERROR(IF(VLOOKUP(T$2,MODULY_CBA!$B$3:$L$23,8,0)=$D63,SUMIF('Rozpocet - Vyvoj aplikacii'!$B$3:$B$179,'TCO TO BE- SW'!T$2,'Rozpocet - Vyvoj aplikacii'!$I$3:$I$179),0),0)</f>
        <v>0</v>
      </c>
      <c r="U63" s="565">
        <f>IFERROR(IF(VLOOKUP(U$2,MODULY_CBA!$B$3:$L$23,8,0)=$D63,SUMIF('Rozpocet - Vyvoj aplikacii'!$B$3:$B$179,'TCO TO BE- SW'!U$2,'Rozpocet - Vyvoj aplikacii'!$I$3:$I$179),0),0)</f>
        <v>0</v>
      </c>
      <c r="V63" s="565">
        <f>IFERROR(IF(VLOOKUP(V$2,MODULY_CBA!$B$3:$L$23,8,0)=$D63,SUMIF('Rozpocet - Vyvoj aplikacii'!$B$3:$B$179,'TCO TO BE- SW'!V$2,'Rozpocet - Vyvoj aplikacii'!$I$3:$I$179),0),0)</f>
        <v>0</v>
      </c>
      <c r="W63" s="565">
        <f>IFERROR(IF(VLOOKUP(W$2,MODULY_CBA!$B$3:$L$23,8,0)=$D63,SUMIF('Rozpocet - Vyvoj aplikacii'!$B$3:$B$179,'TCO TO BE- SW'!W$2,'Rozpocet - Vyvoj aplikacii'!$I$3:$I$179),0),0)</f>
        <v>0</v>
      </c>
      <c r="X63" s="565">
        <f>IFERROR(IF(VLOOKUP(X$2,MODULY_CBA!$B$3:$L$23,8,0)=$D63,SUMIF('Rozpocet - Vyvoj aplikacii'!$B$3:$B$179,'TCO TO BE- SW'!X$2,'Rozpocet - Vyvoj aplikacii'!$I$3:$I$179),0),0)</f>
        <v>0</v>
      </c>
      <c r="Y63" s="565">
        <f>IFERROR(IF(VLOOKUP(Y$2,MODULY_CBA!$B$3:$L$23,8,0)=$D63,SUMIF('Rozpocet - Vyvoj aplikacii'!$B$3:$B$179,'TCO TO BE- SW'!Y$2,'Rozpocet - Vyvoj aplikacii'!$I$3:$I$179),0),0)</f>
        <v>0</v>
      </c>
      <c r="Z63" s="565">
        <f>IFERROR(IF(VLOOKUP(Z$2,MODULY_CBA!$B$3:$L$23,8,0)=$D63,SUMIF('Rozpocet - Vyvoj aplikacii'!$B$3:$B$179,'TCO TO BE- SW'!Z$2,'Rozpocet - Vyvoj aplikacii'!$I$3:$I$179),0),0)</f>
        <v>0</v>
      </c>
    </row>
    <row r="64" spans="1:26" outlineLevel="2">
      <c r="A64" s="807"/>
      <c r="B64" s="808"/>
      <c r="C64" s="808"/>
      <c r="D64" s="64">
        <v>8</v>
      </c>
      <c r="E64" s="68">
        <f t="shared" si="7"/>
        <v>0</v>
      </c>
      <c r="F64" s="565">
        <f>IFERROR(IF(VLOOKUP(F$2,MODULY_CBA!$B$3:$L$23,8,0)=$D64,SUMIF('Rozpocet - Vyvoj aplikacii'!$B$3:$B$179,'TCO TO BE- SW'!F$2,'Rozpocet - Vyvoj aplikacii'!$I$3:$I$179),0),0)</f>
        <v>0</v>
      </c>
      <c r="G64" s="565">
        <f>IFERROR(IF(VLOOKUP(G$2,MODULY_CBA!$B$3:$L$23,8,0)=$D64,SUMIF('Rozpocet - Vyvoj aplikacii'!$B$3:$B$179,'TCO TO BE- SW'!G$2,'Rozpocet - Vyvoj aplikacii'!$I$3:$I$179),0),0)</f>
        <v>0</v>
      </c>
      <c r="H64" s="565">
        <f>IFERROR(IF(VLOOKUP(H$2,MODULY_CBA!$B$3:$L$23,8,0)=$D64,SUMIF('Rozpocet - Vyvoj aplikacii'!$B$3:$B$179,'TCO TO BE- SW'!H$2,'Rozpocet - Vyvoj aplikacii'!$I$3:$I$179),0),0)</f>
        <v>0</v>
      </c>
      <c r="I64" s="565">
        <f>IFERROR(IF(VLOOKUP(I$2,MODULY_CBA!$B$3:$L$23,8,0)=$D64,SUMIF('Rozpocet - Vyvoj aplikacii'!$B$3:$B$179,'TCO TO BE- SW'!I$2,'Rozpocet - Vyvoj aplikacii'!$I$3:$I$179),0),0)</f>
        <v>0</v>
      </c>
      <c r="J64" s="565">
        <f>IFERROR(IF(VLOOKUP(J$2,MODULY_CBA!$B$3:$L$23,8,0)=$D64,SUMIF('Rozpocet - Vyvoj aplikacii'!$B$3:$B$179,'TCO TO BE- SW'!J$2,'Rozpocet - Vyvoj aplikacii'!$I$3:$I$179),0),0)</f>
        <v>0</v>
      </c>
      <c r="K64" s="565">
        <f>IFERROR(IF(VLOOKUP(K$2,MODULY_CBA!$B$3:$L$23,8,0)=$D64,SUMIF('Rozpocet - Vyvoj aplikacii'!$B$3:$B$179,'TCO TO BE- SW'!K$2,'Rozpocet - Vyvoj aplikacii'!$I$3:$I$179),0),0)</f>
        <v>0</v>
      </c>
      <c r="L64" s="565">
        <f>IFERROR(IF(VLOOKUP(L$2,MODULY_CBA!$B$3:$L$23,8,0)=$D64,SUMIF('Rozpocet - Vyvoj aplikacii'!$B$3:$B$179,'TCO TO BE- SW'!L$2,'Rozpocet - Vyvoj aplikacii'!$I$3:$I$179),0),0)</f>
        <v>0</v>
      </c>
      <c r="M64" s="565">
        <f>IFERROR(IF(VLOOKUP(M$2,MODULY_CBA!$B$3:$L$23,8,0)=$D64,SUMIF('Rozpocet - Vyvoj aplikacii'!$B$3:$B$179,'TCO TO BE- SW'!M$2,'Rozpocet - Vyvoj aplikacii'!$I$3:$I$179),0),0)</f>
        <v>0</v>
      </c>
      <c r="N64" s="565">
        <f>IFERROR(IF(VLOOKUP(N$2,MODULY_CBA!$B$3:$L$23,8,0)=$D64,SUMIF('Rozpocet - Vyvoj aplikacii'!$B$3:$B$179,'TCO TO BE- SW'!N$2,'Rozpocet - Vyvoj aplikacii'!$I$3:$I$179),0),0)</f>
        <v>0</v>
      </c>
      <c r="O64" s="565">
        <f>IFERROR(IF(VLOOKUP(O$2,MODULY_CBA!$B$3:$L$23,8,0)=$D64,SUMIF('Rozpocet - Vyvoj aplikacii'!$B$3:$B$179,'TCO TO BE- SW'!O$2,'Rozpocet - Vyvoj aplikacii'!$I$3:$I$179),0),0)</f>
        <v>0</v>
      </c>
      <c r="P64" s="565">
        <f>IFERROR(IF(VLOOKUP(P$2,MODULY_CBA!$B$3:$L$23,8,0)=$D64,SUMIF('Rozpocet - Vyvoj aplikacii'!$B$3:$B$179,'TCO TO BE- SW'!P$2,'Rozpocet - Vyvoj aplikacii'!$I$3:$I$179),0),0)</f>
        <v>0</v>
      </c>
      <c r="Q64" s="565">
        <f>IFERROR(IF(VLOOKUP(Q$2,MODULY_CBA!$B$3:$L$23,8,0)=$D64,SUMIF('Rozpocet - Vyvoj aplikacii'!$B$3:$B$179,'TCO TO BE- SW'!Q$2,'Rozpocet - Vyvoj aplikacii'!$I$3:$I$179),0),0)</f>
        <v>0</v>
      </c>
      <c r="R64" s="565">
        <f>IFERROR(IF(VLOOKUP(R$2,MODULY_CBA!$B$3:$L$23,8,0)=$D64,SUMIF('Rozpocet - Vyvoj aplikacii'!$B$3:$B$179,'TCO TO BE- SW'!R$2,'Rozpocet - Vyvoj aplikacii'!$I$3:$I$179),0),0)</f>
        <v>0</v>
      </c>
      <c r="S64" s="565">
        <f>IFERROR(IF(VLOOKUP(S$2,MODULY_CBA!$B$3:$L$23,8,0)=$D64,SUMIF('Rozpocet - Vyvoj aplikacii'!$B$3:$B$179,'TCO TO BE- SW'!S$2,'Rozpocet - Vyvoj aplikacii'!$I$3:$I$179),0),0)</f>
        <v>0</v>
      </c>
      <c r="T64" s="565">
        <f>IFERROR(IF(VLOOKUP(T$2,MODULY_CBA!$B$3:$L$23,8,0)=$D64,SUMIF('Rozpocet - Vyvoj aplikacii'!$B$3:$B$179,'TCO TO BE- SW'!T$2,'Rozpocet - Vyvoj aplikacii'!$I$3:$I$179),0),0)</f>
        <v>0</v>
      </c>
      <c r="U64" s="565">
        <f>IFERROR(IF(VLOOKUP(U$2,MODULY_CBA!$B$3:$L$23,8,0)=$D64,SUMIF('Rozpocet - Vyvoj aplikacii'!$B$3:$B$179,'TCO TO BE- SW'!U$2,'Rozpocet - Vyvoj aplikacii'!$I$3:$I$179),0),0)</f>
        <v>0</v>
      </c>
      <c r="V64" s="565">
        <f>IFERROR(IF(VLOOKUP(V$2,MODULY_CBA!$B$3:$L$23,8,0)=$D64,SUMIF('Rozpocet - Vyvoj aplikacii'!$B$3:$B$179,'TCO TO BE- SW'!V$2,'Rozpocet - Vyvoj aplikacii'!$I$3:$I$179),0),0)</f>
        <v>0</v>
      </c>
      <c r="W64" s="565">
        <f>IFERROR(IF(VLOOKUP(W$2,MODULY_CBA!$B$3:$L$23,8,0)=$D64,SUMIF('Rozpocet - Vyvoj aplikacii'!$B$3:$B$179,'TCO TO BE- SW'!W$2,'Rozpocet - Vyvoj aplikacii'!$I$3:$I$179),0),0)</f>
        <v>0</v>
      </c>
      <c r="X64" s="565">
        <f>IFERROR(IF(VLOOKUP(X$2,MODULY_CBA!$B$3:$L$23,8,0)=$D64,SUMIF('Rozpocet - Vyvoj aplikacii'!$B$3:$B$179,'TCO TO BE- SW'!X$2,'Rozpocet - Vyvoj aplikacii'!$I$3:$I$179),0),0)</f>
        <v>0</v>
      </c>
      <c r="Y64" s="565">
        <f>IFERROR(IF(VLOOKUP(Y$2,MODULY_CBA!$B$3:$L$23,8,0)=$D64,SUMIF('Rozpocet - Vyvoj aplikacii'!$B$3:$B$179,'TCO TO BE- SW'!Y$2,'Rozpocet - Vyvoj aplikacii'!$I$3:$I$179),0),0)</f>
        <v>0</v>
      </c>
      <c r="Z64" s="565">
        <f>IFERROR(IF(VLOOKUP(Z$2,MODULY_CBA!$B$3:$L$23,8,0)=$D64,SUMIF('Rozpocet - Vyvoj aplikacii'!$B$3:$B$179,'TCO TO BE- SW'!Z$2,'Rozpocet - Vyvoj aplikacii'!$I$3:$I$179),0),0)</f>
        <v>0</v>
      </c>
    </row>
    <row r="65" spans="1:26" outlineLevel="2">
      <c r="A65" s="807"/>
      <c r="B65" s="808"/>
      <c r="C65" s="808"/>
      <c r="D65" s="64">
        <v>9</v>
      </c>
      <c r="E65" s="68">
        <f t="shared" si="7"/>
        <v>0</v>
      </c>
      <c r="F65" s="565">
        <f>IFERROR(IF(VLOOKUP(F$2,MODULY_CBA!$B$3:$L$23,8,0)=$D65,SUMIF('Rozpocet - Vyvoj aplikacii'!$B$3:$B$179,'TCO TO BE- SW'!F$2,'Rozpocet - Vyvoj aplikacii'!$I$3:$I$179),0),0)</f>
        <v>0</v>
      </c>
      <c r="G65" s="565">
        <f>IFERROR(IF(VLOOKUP(G$2,MODULY_CBA!$B$3:$L$23,8,0)=$D65,SUMIF('Rozpocet - Vyvoj aplikacii'!$B$3:$B$179,'TCO TO BE- SW'!G$2,'Rozpocet - Vyvoj aplikacii'!$I$3:$I$179),0),0)</f>
        <v>0</v>
      </c>
      <c r="H65" s="565">
        <f>IFERROR(IF(VLOOKUP(H$2,MODULY_CBA!$B$3:$L$23,8,0)=$D65,SUMIF('Rozpocet - Vyvoj aplikacii'!$B$3:$B$179,'TCO TO BE- SW'!H$2,'Rozpocet - Vyvoj aplikacii'!$I$3:$I$179),0),0)</f>
        <v>0</v>
      </c>
      <c r="I65" s="565">
        <f>IFERROR(IF(VLOOKUP(I$2,MODULY_CBA!$B$3:$L$23,8,0)=$D65,SUMIF('Rozpocet - Vyvoj aplikacii'!$B$3:$B$179,'TCO TO BE- SW'!I$2,'Rozpocet - Vyvoj aplikacii'!$I$3:$I$179),0),0)</f>
        <v>0</v>
      </c>
      <c r="J65" s="565">
        <f>IFERROR(IF(VLOOKUP(J$2,MODULY_CBA!$B$3:$L$23,8,0)=$D65,SUMIF('Rozpocet - Vyvoj aplikacii'!$B$3:$B$179,'TCO TO BE- SW'!J$2,'Rozpocet - Vyvoj aplikacii'!$I$3:$I$179),0),0)</f>
        <v>0</v>
      </c>
      <c r="K65" s="565">
        <f>IFERROR(IF(VLOOKUP(K$2,MODULY_CBA!$B$3:$L$23,8,0)=$D65,SUMIF('Rozpocet - Vyvoj aplikacii'!$B$3:$B$179,'TCO TO BE- SW'!K$2,'Rozpocet - Vyvoj aplikacii'!$I$3:$I$179),0),0)</f>
        <v>0</v>
      </c>
      <c r="L65" s="565">
        <f>IFERROR(IF(VLOOKUP(L$2,MODULY_CBA!$B$3:$L$23,8,0)=$D65,SUMIF('Rozpocet - Vyvoj aplikacii'!$B$3:$B$179,'TCO TO BE- SW'!L$2,'Rozpocet - Vyvoj aplikacii'!$I$3:$I$179),0),0)</f>
        <v>0</v>
      </c>
      <c r="M65" s="565">
        <f>IFERROR(IF(VLOOKUP(M$2,MODULY_CBA!$B$3:$L$23,8,0)=$D65,SUMIF('Rozpocet - Vyvoj aplikacii'!$B$3:$B$179,'TCO TO BE- SW'!M$2,'Rozpocet - Vyvoj aplikacii'!$I$3:$I$179),0),0)</f>
        <v>0</v>
      </c>
      <c r="N65" s="565">
        <f>IFERROR(IF(VLOOKUP(N$2,MODULY_CBA!$B$3:$L$23,8,0)=$D65,SUMIF('Rozpocet - Vyvoj aplikacii'!$B$3:$B$179,'TCO TO BE- SW'!N$2,'Rozpocet - Vyvoj aplikacii'!$I$3:$I$179),0),0)</f>
        <v>0</v>
      </c>
      <c r="O65" s="565">
        <f>IFERROR(IF(VLOOKUP(O$2,MODULY_CBA!$B$3:$L$23,8,0)=$D65,SUMIF('Rozpocet - Vyvoj aplikacii'!$B$3:$B$179,'TCO TO BE- SW'!O$2,'Rozpocet - Vyvoj aplikacii'!$I$3:$I$179),0),0)</f>
        <v>0</v>
      </c>
      <c r="P65" s="565">
        <f>IFERROR(IF(VLOOKUP(P$2,MODULY_CBA!$B$3:$L$23,8,0)=$D65,SUMIF('Rozpocet - Vyvoj aplikacii'!$B$3:$B$179,'TCO TO BE- SW'!P$2,'Rozpocet - Vyvoj aplikacii'!$I$3:$I$179),0),0)</f>
        <v>0</v>
      </c>
      <c r="Q65" s="565">
        <f>IFERROR(IF(VLOOKUP(Q$2,MODULY_CBA!$B$3:$L$23,8,0)=$D65,SUMIF('Rozpocet - Vyvoj aplikacii'!$B$3:$B$179,'TCO TO BE- SW'!Q$2,'Rozpocet - Vyvoj aplikacii'!$I$3:$I$179),0),0)</f>
        <v>0</v>
      </c>
      <c r="R65" s="565">
        <f>IFERROR(IF(VLOOKUP(R$2,MODULY_CBA!$B$3:$L$23,8,0)=$D65,SUMIF('Rozpocet - Vyvoj aplikacii'!$B$3:$B$179,'TCO TO BE- SW'!R$2,'Rozpocet - Vyvoj aplikacii'!$I$3:$I$179),0),0)</f>
        <v>0</v>
      </c>
      <c r="S65" s="565">
        <f>IFERROR(IF(VLOOKUP(S$2,MODULY_CBA!$B$3:$L$23,8,0)=$D65,SUMIF('Rozpocet - Vyvoj aplikacii'!$B$3:$B$179,'TCO TO BE- SW'!S$2,'Rozpocet - Vyvoj aplikacii'!$I$3:$I$179),0),0)</f>
        <v>0</v>
      </c>
      <c r="T65" s="565">
        <f>IFERROR(IF(VLOOKUP(T$2,MODULY_CBA!$B$3:$L$23,8,0)=$D65,SUMIF('Rozpocet - Vyvoj aplikacii'!$B$3:$B$179,'TCO TO BE- SW'!T$2,'Rozpocet - Vyvoj aplikacii'!$I$3:$I$179),0),0)</f>
        <v>0</v>
      </c>
      <c r="U65" s="565">
        <f>IFERROR(IF(VLOOKUP(U$2,MODULY_CBA!$B$3:$L$23,8,0)=$D65,SUMIF('Rozpocet - Vyvoj aplikacii'!$B$3:$B$179,'TCO TO BE- SW'!U$2,'Rozpocet - Vyvoj aplikacii'!$I$3:$I$179),0),0)</f>
        <v>0</v>
      </c>
      <c r="V65" s="565">
        <f>IFERROR(IF(VLOOKUP(V$2,MODULY_CBA!$B$3:$L$23,8,0)=$D65,SUMIF('Rozpocet - Vyvoj aplikacii'!$B$3:$B$179,'TCO TO BE- SW'!V$2,'Rozpocet - Vyvoj aplikacii'!$I$3:$I$179),0),0)</f>
        <v>0</v>
      </c>
      <c r="W65" s="565">
        <f>IFERROR(IF(VLOOKUP(W$2,MODULY_CBA!$B$3:$L$23,8,0)=$D65,SUMIF('Rozpocet - Vyvoj aplikacii'!$B$3:$B$179,'TCO TO BE- SW'!W$2,'Rozpocet - Vyvoj aplikacii'!$I$3:$I$179),0),0)</f>
        <v>0</v>
      </c>
      <c r="X65" s="565">
        <f>IFERROR(IF(VLOOKUP(X$2,MODULY_CBA!$B$3:$L$23,8,0)=$D65,SUMIF('Rozpocet - Vyvoj aplikacii'!$B$3:$B$179,'TCO TO BE- SW'!X$2,'Rozpocet - Vyvoj aplikacii'!$I$3:$I$179),0),0)</f>
        <v>0</v>
      </c>
      <c r="Y65" s="565">
        <f>IFERROR(IF(VLOOKUP(Y$2,MODULY_CBA!$B$3:$L$23,8,0)=$D65,SUMIF('Rozpocet - Vyvoj aplikacii'!$B$3:$B$179,'TCO TO BE- SW'!Y$2,'Rozpocet - Vyvoj aplikacii'!$I$3:$I$179),0),0)</f>
        <v>0</v>
      </c>
      <c r="Z65" s="565">
        <f>IFERROR(IF(VLOOKUP(Z$2,MODULY_CBA!$B$3:$L$23,8,0)=$D65,SUMIF('Rozpocet - Vyvoj aplikacii'!$B$3:$B$179,'TCO TO BE- SW'!Z$2,'Rozpocet - Vyvoj aplikacii'!$I$3:$I$179),0),0)</f>
        <v>0</v>
      </c>
    </row>
    <row r="66" spans="1:26" ht="15.75" outlineLevel="2" thickBot="1">
      <c r="A66" s="807"/>
      <c r="B66" s="808"/>
      <c r="C66" s="808"/>
      <c r="D66" s="65">
        <v>10</v>
      </c>
      <c r="E66" s="69">
        <f t="shared" si="7"/>
        <v>0</v>
      </c>
      <c r="F66" s="566">
        <f>IFERROR(IF(VLOOKUP(F$2,MODULY_CBA!$B$3:$L$23,8,0)=$D66,SUMIF('Rozpocet - Vyvoj aplikacii'!$B$3:$B$179,'TCO TO BE- SW'!F$2,'Rozpocet - Vyvoj aplikacii'!$I$3:$I$179),0),0)</f>
        <v>0</v>
      </c>
      <c r="G66" s="566">
        <f>IFERROR(IF(VLOOKUP(G$2,MODULY_CBA!$B$3:$L$23,8,0)=$D66,SUMIF('Rozpocet - Vyvoj aplikacii'!$B$3:$B$179,'TCO TO BE- SW'!G$2,'Rozpocet - Vyvoj aplikacii'!$I$3:$I$179),0),0)</f>
        <v>0</v>
      </c>
      <c r="H66" s="566">
        <f>IFERROR(IF(VLOOKUP(H$2,MODULY_CBA!$B$3:$L$23,8,0)=$D66,SUMIF('Rozpocet - Vyvoj aplikacii'!$B$3:$B$179,'TCO TO BE- SW'!H$2,'Rozpocet - Vyvoj aplikacii'!$I$3:$I$179),0),0)</f>
        <v>0</v>
      </c>
      <c r="I66" s="566">
        <f>IFERROR(IF(VLOOKUP(I$2,MODULY_CBA!$B$3:$L$23,8,0)=$D66,SUMIF('Rozpocet - Vyvoj aplikacii'!$B$3:$B$179,'TCO TO BE- SW'!I$2,'Rozpocet - Vyvoj aplikacii'!$I$3:$I$179),0),0)</f>
        <v>0</v>
      </c>
      <c r="J66" s="566">
        <f>IFERROR(IF(VLOOKUP(J$2,MODULY_CBA!$B$3:$L$23,8,0)=$D66,SUMIF('Rozpocet - Vyvoj aplikacii'!$B$3:$B$179,'TCO TO BE- SW'!J$2,'Rozpocet - Vyvoj aplikacii'!$I$3:$I$179),0),0)</f>
        <v>0</v>
      </c>
      <c r="K66" s="566">
        <f>IFERROR(IF(VLOOKUP(K$2,MODULY_CBA!$B$3:$L$23,8,0)=$D66,SUMIF('Rozpocet - Vyvoj aplikacii'!$B$3:$B$179,'TCO TO BE- SW'!K$2,'Rozpocet - Vyvoj aplikacii'!$I$3:$I$179),0),0)</f>
        <v>0</v>
      </c>
      <c r="L66" s="566">
        <f>IFERROR(IF(VLOOKUP(L$2,MODULY_CBA!$B$3:$L$23,8,0)=$D66,SUMIF('Rozpocet - Vyvoj aplikacii'!$B$3:$B$179,'TCO TO BE- SW'!L$2,'Rozpocet - Vyvoj aplikacii'!$I$3:$I$179),0),0)</f>
        <v>0</v>
      </c>
      <c r="M66" s="566">
        <f>IFERROR(IF(VLOOKUP(M$2,MODULY_CBA!$B$3:$L$23,8,0)=$D66,SUMIF('Rozpocet - Vyvoj aplikacii'!$B$3:$B$179,'TCO TO BE- SW'!M$2,'Rozpocet - Vyvoj aplikacii'!$I$3:$I$179),0),0)</f>
        <v>0</v>
      </c>
      <c r="N66" s="566">
        <f>IFERROR(IF(VLOOKUP(N$2,MODULY_CBA!$B$3:$L$23,8,0)=$D66,SUMIF('Rozpocet - Vyvoj aplikacii'!$B$3:$B$179,'TCO TO BE- SW'!N$2,'Rozpocet - Vyvoj aplikacii'!$I$3:$I$179),0),0)</f>
        <v>0</v>
      </c>
      <c r="O66" s="566">
        <f>IFERROR(IF(VLOOKUP(O$2,MODULY_CBA!$B$3:$L$23,8,0)=$D66,SUMIF('Rozpocet - Vyvoj aplikacii'!$B$3:$B$179,'TCO TO BE- SW'!O$2,'Rozpocet - Vyvoj aplikacii'!$I$3:$I$179),0),0)</f>
        <v>0</v>
      </c>
      <c r="P66" s="566">
        <f>IFERROR(IF(VLOOKUP(P$2,MODULY_CBA!$B$3:$L$23,8,0)=$D66,SUMIF('Rozpocet - Vyvoj aplikacii'!$B$3:$B$179,'TCO TO BE- SW'!P$2,'Rozpocet - Vyvoj aplikacii'!$I$3:$I$179),0),0)</f>
        <v>0</v>
      </c>
      <c r="Q66" s="566">
        <f>IFERROR(IF(VLOOKUP(Q$2,MODULY_CBA!$B$3:$L$23,8,0)=$D66,SUMIF('Rozpocet - Vyvoj aplikacii'!$B$3:$B$179,'TCO TO BE- SW'!Q$2,'Rozpocet - Vyvoj aplikacii'!$I$3:$I$179),0),0)</f>
        <v>0</v>
      </c>
      <c r="R66" s="566">
        <f>IFERROR(IF(VLOOKUP(R$2,MODULY_CBA!$B$3:$L$23,8,0)=$D66,SUMIF('Rozpocet - Vyvoj aplikacii'!$B$3:$B$179,'TCO TO BE- SW'!R$2,'Rozpocet - Vyvoj aplikacii'!$I$3:$I$179),0),0)</f>
        <v>0</v>
      </c>
      <c r="S66" s="566">
        <f>IFERROR(IF(VLOOKUP(S$2,MODULY_CBA!$B$3:$L$23,8,0)=$D66,SUMIF('Rozpocet - Vyvoj aplikacii'!$B$3:$B$179,'TCO TO BE- SW'!S$2,'Rozpocet - Vyvoj aplikacii'!$I$3:$I$179),0),0)</f>
        <v>0</v>
      </c>
      <c r="T66" s="566">
        <f>IFERROR(IF(VLOOKUP(T$2,MODULY_CBA!$B$3:$L$23,8,0)=$D66,SUMIF('Rozpocet - Vyvoj aplikacii'!$B$3:$B$179,'TCO TO BE- SW'!T$2,'Rozpocet - Vyvoj aplikacii'!$I$3:$I$179),0),0)</f>
        <v>0</v>
      </c>
      <c r="U66" s="566">
        <f>IFERROR(IF(VLOOKUP(U$2,MODULY_CBA!$B$3:$L$23,8,0)=$D66,SUMIF('Rozpocet - Vyvoj aplikacii'!$B$3:$B$179,'TCO TO BE- SW'!U$2,'Rozpocet - Vyvoj aplikacii'!$I$3:$I$179),0),0)</f>
        <v>0</v>
      </c>
      <c r="V66" s="566">
        <f>IFERROR(IF(VLOOKUP(V$2,MODULY_CBA!$B$3:$L$23,8,0)=$D66,SUMIF('Rozpocet - Vyvoj aplikacii'!$B$3:$B$179,'TCO TO BE- SW'!V$2,'Rozpocet - Vyvoj aplikacii'!$I$3:$I$179),0),0)</f>
        <v>0</v>
      </c>
      <c r="W66" s="566">
        <f>IFERROR(IF(VLOOKUP(W$2,MODULY_CBA!$B$3:$L$23,8,0)=$D66,SUMIF('Rozpocet - Vyvoj aplikacii'!$B$3:$B$179,'TCO TO BE- SW'!W$2,'Rozpocet - Vyvoj aplikacii'!$I$3:$I$179),0),0)</f>
        <v>0</v>
      </c>
      <c r="X66" s="566">
        <f>IFERROR(IF(VLOOKUP(X$2,MODULY_CBA!$B$3:$L$23,8,0)=$D66,SUMIF('Rozpocet - Vyvoj aplikacii'!$B$3:$B$179,'TCO TO BE- SW'!X$2,'Rozpocet - Vyvoj aplikacii'!$I$3:$I$179),0),0)</f>
        <v>0</v>
      </c>
      <c r="Y66" s="566">
        <f>IFERROR(IF(VLOOKUP(Y$2,MODULY_CBA!$B$3:$L$23,8,0)=$D66,SUMIF('Rozpocet - Vyvoj aplikacii'!$B$3:$B$179,'TCO TO BE- SW'!Y$2,'Rozpocet - Vyvoj aplikacii'!$I$3:$I$179),0),0)</f>
        <v>0</v>
      </c>
      <c r="Z66" s="566">
        <f>IFERROR(IF(VLOOKUP(Z$2,MODULY_CBA!$B$3:$L$23,8,0)=$D66,SUMIF('Rozpocet - Vyvoj aplikacii'!$B$3:$B$179,'TCO TO BE- SW'!Z$2,'Rozpocet - Vyvoj aplikacii'!$I$3:$I$179),0),0)</f>
        <v>0</v>
      </c>
    </row>
    <row r="67" spans="1:26" outlineLevel="2">
      <c r="A67" s="807" t="s">
        <v>77</v>
      </c>
      <c r="B67" s="808" t="s">
        <v>78</v>
      </c>
      <c r="C67" s="808">
        <v>637040</v>
      </c>
      <c r="D67" s="63">
        <v>1</v>
      </c>
      <c r="E67" s="68">
        <f t="shared" si="6"/>
        <v>0</v>
      </c>
      <c r="F67" s="567">
        <v>0</v>
      </c>
      <c r="G67" s="567">
        <v>0</v>
      </c>
      <c r="H67" s="567">
        <v>0</v>
      </c>
      <c r="I67" s="567">
        <v>0</v>
      </c>
      <c r="J67" s="567">
        <v>0</v>
      </c>
      <c r="K67" s="567">
        <v>0</v>
      </c>
      <c r="L67" s="567">
        <v>0</v>
      </c>
      <c r="M67" s="567">
        <v>0</v>
      </c>
      <c r="N67" s="567">
        <v>0</v>
      </c>
      <c r="O67" s="567">
        <v>0</v>
      </c>
      <c r="P67" s="567">
        <v>0</v>
      </c>
      <c r="Q67" s="567">
        <v>0</v>
      </c>
      <c r="R67" s="567">
        <v>0</v>
      </c>
      <c r="S67" s="567">
        <v>0</v>
      </c>
      <c r="T67" s="567">
        <v>0</v>
      </c>
      <c r="U67" s="567">
        <v>0</v>
      </c>
      <c r="V67" s="567">
        <v>0</v>
      </c>
      <c r="W67" s="567">
        <v>0</v>
      </c>
      <c r="X67" s="567">
        <v>0</v>
      </c>
      <c r="Y67" s="567">
        <v>0</v>
      </c>
      <c r="Z67" s="567">
        <v>0</v>
      </c>
    </row>
    <row r="68" spans="1:26" outlineLevel="2">
      <c r="A68" s="807"/>
      <c r="B68" s="808"/>
      <c r="C68" s="808"/>
      <c r="D68" s="64">
        <v>2</v>
      </c>
      <c r="E68" s="68">
        <f t="shared" si="6"/>
        <v>0</v>
      </c>
      <c r="F68" s="568">
        <v>0</v>
      </c>
      <c r="G68" s="568">
        <v>0</v>
      </c>
      <c r="H68" s="568">
        <v>0</v>
      </c>
      <c r="I68" s="568">
        <v>0</v>
      </c>
      <c r="J68" s="568">
        <v>0</v>
      </c>
      <c r="K68" s="568">
        <v>0</v>
      </c>
      <c r="L68" s="568">
        <v>0</v>
      </c>
      <c r="M68" s="568">
        <v>0</v>
      </c>
      <c r="N68" s="568">
        <v>0</v>
      </c>
      <c r="O68" s="568">
        <v>0</v>
      </c>
      <c r="P68" s="568">
        <v>0</v>
      </c>
      <c r="Q68" s="568">
        <v>0</v>
      </c>
      <c r="R68" s="568">
        <v>0</v>
      </c>
      <c r="S68" s="568">
        <v>0</v>
      </c>
      <c r="T68" s="568">
        <v>0</v>
      </c>
      <c r="U68" s="568">
        <v>0</v>
      </c>
      <c r="V68" s="568">
        <v>0</v>
      </c>
      <c r="W68" s="568">
        <v>0</v>
      </c>
      <c r="X68" s="568">
        <v>0</v>
      </c>
      <c r="Y68" s="568">
        <v>0</v>
      </c>
      <c r="Z68" s="568">
        <v>0</v>
      </c>
    </row>
    <row r="69" spans="1:26" outlineLevel="2">
      <c r="A69" s="807"/>
      <c r="B69" s="808"/>
      <c r="C69" s="808"/>
      <c r="D69" s="64">
        <v>3</v>
      </c>
      <c r="E69" s="68">
        <f t="shared" si="6"/>
        <v>0</v>
      </c>
      <c r="F69" s="568">
        <v>0</v>
      </c>
      <c r="G69" s="568">
        <v>0</v>
      </c>
      <c r="H69" s="568">
        <v>0</v>
      </c>
      <c r="I69" s="568">
        <v>0</v>
      </c>
      <c r="J69" s="568">
        <v>0</v>
      </c>
      <c r="K69" s="568">
        <v>0</v>
      </c>
      <c r="L69" s="568">
        <v>0</v>
      </c>
      <c r="M69" s="568">
        <v>0</v>
      </c>
      <c r="N69" s="568">
        <v>0</v>
      </c>
      <c r="O69" s="568">
        <v>0</v>
      </c>
      <c r="P69" s="568">
        <v>0</v>
      </c>
      <c r="Q69" s="568">
        <v>0</v>
      </c>
      <c r="R69" s="568">
        <v>0</v>
      </c>
      <c r="S69" s="568">
        <v>0</v>
      </c>
      <c r="T69" s="568">
        <v>0</v>
      </c>
      <c r="U69" s="568">
        <v>0</v>
      </c>
      <c r="V69" s="568">
        <v>0</v>
      </c>
      <c r="W69" s="568">
        <v>0</v>
      </c>
      <c r="X69" s="568">
        <v>0</v>
      </c>
      <c r="Y69" s="568">
        <v>0</v>
      </c>
      <c r="Z69" s="568">
        <v>0</v>
      </c>
    </row>
    <row r="70" spans="1:26" outlineLevel="2">
      <c r="A70" s="807"/>
      <c r="B70" s="808"/>
      <c r="C70" s="808"/>
      <c r="D70" s="64">
        <v>4</v>
      </c>
      <c r="E70" s="68">
        <f t="shared" si="6"/>
        <v>0</v>
      </c>
      <c r="F70" s="568">
        <v>0</v>
      </c>
      <c r="G70" s="568">
        <v>0</v>
      </c>
      <c r="H70" s="568">
        <v>0</v>
      </c>
      <c r="I70" s="568">
        <v>0</v>
      </c>
      <c r="J70" s="568">
        <v>0</v>
      </c>
      <c r="K70" s="568">
        <v>0</v>
      </c>
      <c r="L70" s="568">
        <v>0</v>
      </c>
      <c r="M70" s="568">
        <v>0</v>
      </c>
      <c r="N70" s="568">
        <v>0</v>
      </c>
      <c r="O70" s="568">
        <v>0</v>
      </c>
      <c r="P70" s="568">
        <v>0</v>
      </c>
      <c r="Q70" s="568">
        <v>0</v>
      </c>
      <c r="R70" s="568">
        <v>0</v>
      </c>
      <c r="S70" s="568">
        <v>0</v>
      </c>
      <c r="T70" s="568">
        <v>0</v>
      </c>
      <c r="U70" s="568">
        <v>0</v>
      </c>
      <c r="V70" s="568">
        <v>0</v>
      </c>
      <c r="W70" s="568">
        <v>0</v>
      </c>
      <c r="X70" s="568">
        <v>0</v>
      </c>
      <c r="Y70" s="568">
        <v>0</v>
      </c>
      <c r="Z70" s="568">
        <v>0</v>
      </c>
    </row>
    <row r="71" spans="1:26" outlineLevel="2">
      <c r="A71" s="807"/>
      <c r="B71" s="808"/>
      <c r="C71" s="808"/>
      <c r="D71" s="64">
        <v>5</v>
      </c>
      <c r="E71" s="68">
        <f t="shared" si="6"/>
        <v>0</v>
      </c>
      <c r="F71" s="568">
        <v>0</v>
      </c>
      <c r="G71" s="568">
        <v>0</v>
      </c>
      <c r="H71" s="568">
        <v>0</v>
      </c>
      <c r="I71" s="568">
        <v>0</v>
      </c>
      <c r="J71" s="568">
        <v>0</v>
      </c>
      <c r="K71" s="568">
        <v>0</v>
      </c>
      <c r="L71" s="568">
        <v>0</v>
      </c>
      <c r="M71" s="568">
        <v>0</v>
      </c>
      <c r="N71" s="568">
        <v>0</v>
      </c>
      <c r="O71" s="568">
        <v>0</v>
      </c>
      <c r="P71" s="568">
        <v>0</v>
      </c>
      <c r="Q71" s="568">
        <v>0</v>
      </c>
      <c r="R71" s="568">
        <v>0</v>
      </c>
      <c r="S71" s="568">
        <v>0</v>
      </c>
      <c r="T71" s="568">
        <v>0</v>
      </c>
      <c r="U71" s="568">
        <v>0</v>
      </c>
      <c r="V71" s="568">
        <v>0</v>
      </c>
      <c r="W71" s="568">
        <v>0</v>
      </c>
      <c r="X71" s="568">
        <v>0</v>
      </c>
      <c r="Y71" s="568">
        <v>0</v>
      </c>
      <c r="Z71" s="568">
        <v>0</v>
      </c>
    </row>
    <row r="72" spans="1:26" outlineLevel="2">
      <c r="A72" s="807"/>
      <c r="B72" s="808"/>
      <c r="C72" s="808"/>
      <c r="D72" s="64">
        <v>6</v>
      </c>
      <c r="E72" s="68">
        <f t="shared" si="6"/>
        <v>0</v>
      </c>
      <c r="F72" s="568">
        <v>0</v>
      </c>
      <c r="G72" s="568">
        <v>0</v>
      </c>
      <c r="H72" s="568">
        <v>0</v>
      </c>
      <c r="I72" s="568">
        <v>0</v>
      </c>
      <c r="J72" s="568">
        <v>0</v>
      </c>
      <c r="K72" s="568">
        <v>0</v>
      </c>
      <c r="L72" s="568">
        <v>0</v>
      </c>
      <c r="M72" s="568">
        <v>0</v>
      </c>
      <c r="N72" s="568">
        <v>0</v>
      </c>
      <c r="O72" s="568">
        <v>0</v>
      </c>
      <c r="P72" s="568">
        <v>0</v>
      </c>
      <c r="Q72" s="568">
        <v>0</v>
      </c>
      <c r="R72" s="568">
        <v>0</v>
      </c>
      <c r="S72" s="568">
        <v>0</v>
      </c>
      <c r="T72" s="568">
        <v>0</v>
      </c>
      <c r="U72" s="568">
        <v>0</v>
      </c>
      <c r="V72" s="568">
        <v>0</v>
      </c>
      <c r="W72" s="568">
        <v>0</v>
      </c>
      <c r="X72" s="568">
        <v>0</v>
      </c>
      <c r="Y72" s="568">
        <v>0</v>
      </c>
      <c r="Z72" s="568">
        <v>0</v>
      </c>
    </row>
    <row r="73" spans="1:26" outlineLevel="2">
      <c r="A73" s="807"/>
      <c r="B73" s="808"/>
      <c r="C73" s="808"/>
      <c r="D73" s="64">
        <v>7</v>
      </c>
      <c r="E73" s="68">
        <f t="shared" si="6"/>
        <v>0</v>
      </c>
      <c r="F73" s="568">
        <v>0</v>
      </c>
      <c r="G73" s="568">
        <v>0</v>
      </c>
      <c r="H73" s="568">
        <v>0</v>
      </c>
      <c r="I73" s="568">
        <v>0</v>
      </c>
      <c r="J73" s="568">
        <v>0</v>
      </c>
      <c r="K73" s="568">
        <v>0</v>
      </c>
      <c r="L73" s="568">
        <v>0</v>
      </c>
      <c r="M73" s="568">
        <v>0</v>
      </c>
      <c r="N73" s="568">
        <v>0</v>
      </c>
      <c r="O73" s="568">
        <v>0</v>
      </c>
      <c r="P73" s="568">
        <v>0</v>
      </c>
      <c r="Q73" s="568">
        <v>0</v>
      </c>
      <c r="R73" s="568">
        <v>0</v>
      </c>
      <c r="S73" s="568">
        <v>0</v>
      </c>
      <c r="T73" s="568">
        <v>0</v>
      </c>
      <c r="U73" s="568">
        <v>0</v>
      </c>
      <c r="V73" s="568">
        <v>0</v>
      </c>
      <c r="W73" s="568">
        <v>0</v>
      </c>
      <c r="X73" s="568">
        <v>0</v>
      </c>
      <c r="Y73" s="568">
        <v>0</v>
      </c>
      <c r="Z73" s="568">
        <v>0</v>
      </c>
    </row>
    <row r="74" spans="1:26" outlineLevel="2">
      <c r="A74" s="807"/>
      <c r="B74" s="808"/>
      <c r="C74" s="808"/>
      <c r="D74" s="64">
        <v>8</v>
      </c>
      <c r="E74" s="68">
        <f t="shared" si="6"/>
        <v>0</v>
      </c>
      <c r="F74" s="568">
        <v>0</v>
      </c>
      <c r="G74" s="568">
        <v>0</v>
      </c>
      <c r="H74" s="568">
        <v>0</v>
      </c>
      <c r="I74" s="568">
        <v>0</v>
      </c>
      <c r="J74" s="568">
        <v>0</v>
      </c>
      <c r="K74" s="568">
        <v>0</v>
      </c>
      <c r="L74" s="568">
        <v>0</v>
      </c>
      <c r="M74" s="568">
        <v>0</v>
      </c>
      <c r="N74" s="568">
        <v>0</v>
      </c>
      <c r="O74" s="568">
        <v>0</v>
      </c>
      <c r="P74" s="568">
        <v>0</v>
      </c>
      <c r="Q74" s="568">
        <v>0</v>
      </c>
      <c r="R74" s="568">
        <v>0</v>
      </c>
      <c r="S74" s="568">
        <v>0</v>
      </c>
      <c r="T74" s="568">
        <v>0</v>
      </c>
      <c r="U74" s="568">
        <v>0</v>
      </c>
      <c r="V74" s="568">
        <v>0</v>
      </c>
      <c r="W74" s="568">
        <v>0</v>
      </c>
      <c r="X74" s="568">
        <v>0</v>
      </c>
      <c r="Y74" s="568">
        <v>0</v>
      </c>
      <c r="Z74" s="568">
        <v>0</v>
      </c>
    </row>
    <row r="75" spans="1:26" outlineLevel="2">
      <c r="A75" s="807"/>
      <c r="B75" s="808"/>
      <c r="C75" s="808"/>
      <c r="D75" s="64">
        <v>9</v>
      </c>
      <c r="E75" s="68">
        <f t="shared" si="6"/>
        <v>0</v>
      </c>
      <c r="F75" s="568">
        <v>0</v>
      </c>
      <c r="G75" s="568">
        <v>0</v>
      </c>
      <c r="H75" s="568">
        <v>0</v>
      </c>
      <c r="I75" s="568">
        <v>0</v>
      </c>
      <c r="J75" s="568">
        <v>0</v>
      </c>
      <c r="K75" s="568">
        <v>0</v>
      </c>
      <c r="L75" s="568">
        <v>0</v>
      </c>
      <c r="M75" s="568">
        <v>0</v>
      </c>
      <c r="N75" s="568">
        <v>0</v>
      </c>
      <c r="O75" s="568">
        <v>0</v>
      </c>
      <c r="P75" s="568">
        <v>0</v>
      </c>
      <c r="Q75" s="568">
        <v>0</v>
      </c>
      <c r="R75" s="568">
        <v>0</v>
      </c>
      <c r="S75" s="568">
        <v>0</v>
      </c>
      <c r="T75" s="568">
        <v>0</v>
      </c>
      <c r="U75" s="568">
        <v>0</v>
      </c>
      <c r="V75" s="568">
        <v>0</v>
      </c>
      <c r="W75" s="568">
        <v>0</v>
      </c>
      <c r="X75" s="568">
        <v>0</v>
      </c>
      <c r="Y75" s="568">
        <v>0</v>
      </c>
      <c r="Z75" s="568">
        <v>0</v>
      </c>
    </row>
    <row r="76" spans="1:26" ht="15.75" outlineLevel="2" thickBot="1">
      <c r="A76" s="807"/>
      <c r="B76" s="808"/>
      <c r="C76" s="808"/>
      <c r="D76" s="65">
        <v>10</v>
      </c>
      <c r="E76" s="69">
        <f t="shared" si="6"/>
        <v>0</v>
      </c>
      <c r="F76" s="572">
        <v>0</v>
      </c>
      <c r="G76" s="572">
        <v>0</v>
      </c>
      <c r="H76" s="572">
        <v>0</v>
      </c>
      <c r="I76" s="572">
        <v>0</v>
      </c>
      <c r="J76" s="572">
        <v>0</v>
      </c>
      <c r="K76" s="572">
        <v>0</v>
      </c>
      <c r="L76" s="572">
        <v>0</v>
      </c>
      <c r="M76" s="572">
        <v>0</v>
      </c>
      <c r="N76" s="572">
        <v>0</v>
      </c>
      <c r="O76" s="572">
        <v>0</v>
      </c>
      <c r="P76" s="572">
        <v>0</v>
      </c>
      <c r="Q76" s="572">
        <v>0</v>
      </c>
      <c r="R76" s="572">
        <v>0</v>
      </c>
      <c r="S76" s="572">
        <v>0</v>
      </c>
      <c r="T76" s="572">
        <v>0</v>
      </c>
      <c r="U76" s="572">
        <v>0</v>
      </c>
      <c r="V76" s="572">
        <v>0</v>
      </c>
      <c r="W76" s="572">
        <v>0</v>
      </c>
      <c r="X76" s="572">
        <v>0</v>
      </c>
      <c r="Y76" s="572">
        <v>0</v>
      </c>
      <c r="Z76" s="572">
        <v>0</v>
      </c>
    </row>
    <row r="77" spans="1:26" ht="15.75" thickBot="1">
      <c r="A77" s="814" t="s">
        <v>79</v>
      </c>
      <c r="B77" s="815"/>
      <c r="C77" s="815"/>
      <c r="D77" s="75"/>
      <c r="E77" s="72">
        <f t="shared" ref="E77:F77" si="8">E78+E99</f>
        <v>16408325.782683309</v>
      </c>
      <c r="F77" s="73">
        <f t="shared" si="8"/>
        <v>8396166.7766635232</v>
      </c>
      <c r="G77" s="73">
        <f t="shared" ref="G77:Z77" si="9">G78+G99</f>
        <v>293526.50782580371</v>
      </c>
      <c r="H77" s="73">
        <f t="shared" si="9"/>
        <v>403506.0601250921</v>
      </c>
      <c r="I77" s="73">
        <f t="shared" si="9"/>
        <v>521659.76833851682</v>
      </c>
      <c r="J77" s="73">
        <f t="shared" si="9"/>
        <v>137474.44037411056</v>
      </c>
      <c r="K77" s="73">
        <f t="shared" si="9"/>
        <v>301700.66373993998</v>
      </c>
      <c r="L77" s="73">
        <f t="shared" si="9"/>
        <v>631639.32063780527</v>
      </c>
      <c r="M77" s="73">
        <f t="shared" si="9"/>
        <v>740875.76785399055</v>
      </c>
      <c r="N77" s="73">
        <f t="shared" si="9"/>
        <v>329195.55181476212</v>
      </c>
      <c r="O77" s="73">
        <f t="shared" si="9"/>
        <v>494164.88026369479</v>
      </c>
      <c r="P77" s="73">
        <f t="shared" si="9"/>
        <v>384185.32796440629</v>
      </c>
      <c r="Q77" s="73">
        <f t="shared" si="9"/>
        <v>274205.77566511789</v>
      </c>
      <c r="R77" s="73">
        <f t="shared" si="9"/>
        <v>342757.21958139737</v>
      </c>
      <c r="S77" s="73">
        <f t="shared" si="9"/>
        <v>514600.27004903543</v>
      </c>
      <c r="T77" s="73">
        <f t="shared" si="9"/>
        <v>583337.49023609085</v>
      </c>
      <c r="U77" s="73">
        <f t="shared" si="9"/>
        <v>548968.88014256302</v>
      </c>
      <c r="V77" s="73">
        <f t="shared" si="9"/>
        <v>274948.88074822107</v>
      </c>
      <c r="W77" s="73">
        <f t="shared" si="9"/>
        <v>480231.65995550784</v>
      </c>
      <c r="X77" s="73">
        <f t="shared" si="9"/>
        <v>548968.88014256302</v>
      </c>
      <c r="Y77" s="73">
        <f t="shared" si="9"/>
        <v>206211.6605611658</v>
      </c>
      <c r="Z77" s="73">
        <f t="shared" si="9"/>
        <v>0</v>
      </c>
    </row>
    <row r="78" spans="1:26" ht="15.75" outlineLevel="1" thickBot="1">
      <c r="A78" s="17" t="s">
        <v>105</v>
      </c>
      <c r="B78" s="17"/>
      <c r="C78" s="17"/>
      <c r="D78" s="27"/>
      <c r="E78" s="108">
        <f t="shared" ref="E78:F78" si="10">SUM(E79:E98)</f>
        <v>7040000</v>
      </c>
      <c r="F78" s="109">
        <f t="shared" si="10"/>
        <v>7040000</v>
      </c>
      <c r="G78" s="109">
        <f t="shared" ref="G78:Z78" si="11">SUM(G79:G98)</f>
        <v>0</v>
      </c>
      <c r="H78" s="109">
        <f t="shared" si="11"/>
        <v>0</v>
      </c>
      <c r="I78" s="109">
        <f t="shared" si="11"/>
        <v>0</v>
      </c>
      <c r="J78" s="109">
        <f t="shared" si="11"/>
        <v>0</v>
      </c>
      <c r="K78" s="109">
        <f t="shared" si="11"/>
        <v>0</v>
      </c>
      <c r="L78" s="109">
        <f t="shared" si="11"/>
        <v>0</v>
      </c>
      <c r="M78" s="109">
        <f t="shared" si="11"/>
        <v>0</v>
      </c>
      <c r="N78" s="109">
        <f t="shared" si="11"/>
        <v>0</v>
      </c>
      <c r="O78" s="109">
        <f t="shared" si="11"/>
        <v>0</v>
      </c>
      <c r="P78" s="109">
        <f t="shared" si="11"/>
        <v>0</v>
      </c>
      <c r="Q78" s="109">
        <f t="shared" si="11"/>
        <v>0</v>
      </c>
      <c r="R78" s="109">
        <f t="shared" si="11"/>
        <v>0</v>
      </c>
      <c r="S78" s="109">
        <f t="shared" si="11"/>
        <v>0</v>
      </c>
      <c r="T78" s="109">
        <f t="shared" si="11"/>
        <v>0</v>
      </c>
      <c r="U78" s="109">
        <f t="shared" si="11"/>
        <v>0</v>
      </c>
      <c r="V78" s="109">
        <f t="shared" si="11"/>
        <v>0</v>
      </c>
      <c r="W78" s="109">
        <f t="shared" si="11"/>
        <v>0</v>
      </c>
      <c r="X78" s="109">
        <f t="shared" si="11"/>
        <v>0</v>
      </c>
      <c r="Y78" s="109">
        <f t="shared" si="11"/>
        <v>0</v>
      </c>
      <c r="Z78" s="109">
        <f t="shared" si="11"/>
        <v>0</v>
      </c>
    </row>
    <row r="79" spans="1:26" outlineLevel="2">
      <c r="A79" s="807" t="s">
        <v>80</v>
      </c>
      <c r="B79" s="808" t="s">
        <v>81</v>
      </c>
      <c r="C79" s="808">
        <v>635009</v>
      </c>
      <c r="D79" s="63">
        <v>1</v>
      </c>
      <c r="E79" s="60">
        <f t="shared" ref="E79:E98" si="12">SUM(F79:Z79)</f>
        <v>0</v>
      </c>
      <c r="F79" s="573">
        <f>IFERROR(IF(VLOOKUP(F$2,MODULY_CBA!$B$3:$N$23,13,0)&lt;='TCO TO BE- SW'!$D79,SUM('TCO TO BE- SW'!F$6:F$15)*VLOOKUP('TCO TO BE- SW'!F$2,MODULY_CBA!$B$3:$M$23,12,0),0),0)</f>
        <v>0</v>
      </c>
      <c r="G79" s="573">
        <f>IFERROR(IF(VLOOKUP(G$2,MODULY_CBA!$B$3:$N$23,13,0)&lt;='TCO TO BE- SW'!$D79,SUM('TCO TO BE- SW'!G$6:G$15)*VLOOKUP('TCO TO BE- SW'!G$2,MODULY_CBA!$B$3:$M$23,12,0),0),0)</f>
        <v>0</v>
      </c>
      <c r="H79" s="573">
        <f>IFERROR(IF(VLOOKUP(H$2,MODULY_CBA!$B$3:$N$23,13,0)&lt;='TCO TO BE- SW'!$D79,SUM('TCO TO BE- SW'!H$6:H$15)*VLOOKUP('TCO TO BE- SW'!H$2,MODULY_CBA!$B$3:$M$23,12,0),0),0)</f>
        <v>0</v>
      </c>
      <c r="I79" s="573">
        <f>IFERROR(IF(VLOOKUP(I$2,MODULY_CBA!$B$3:$N$23,13,0)&lt;='TCO TO BE- SW'!$D79,SUM('TCO TO BE- SW'!I$6:I$15)*VLOOKUP('TCO TO BE- SW'!I$2,MODULY_CBA!$B$3:$M$23,12,0),0),0)</f>
        <v>0</v>
      </c>
      <c r="J79" s="573">
        <f>IFERROR(IF(VLOOKUP(J$2,MODULY_CBA!$B$3:$N$23,13,0)&lt;='TCO TO BE- SW'!$D79,SUM('TCO TO BE- SW'!J$6:J$15)*VLOOKUP('TCO TO BE- SW'!J$2,MODULY_CBA!$B$3:$M$23,12,0),0),0)</f>
        <v>0</v>
      </c>
      <c r="K79" s="573">
        <f>IFERROR(IF(VLOOKUP(K$2,MODULY_CBA!$B$3:$N$23,13,0)&lt;='TCO TO BE- SW'!$D79,SUM('TCO TO BE- SW'!K$6:K$15)*VLOOKUP('TCO TO BE- SW'!K$2,MODULY_CBA!$B$3:$M$23,12,0),0),0)</f>
        <v>0</v>
      </c>
      <c r="L79" s="573">
        <f>IFERROR(IF(VLOOKUP(L$2,MODULY_CBA!$B$3:$N$23,13,0)&lt;='TCO TO BE- SW'!$D79,SUM('TCO TO BE- SW'!L$6:L$15)*VLOOKUP('TCO TO BE- SW'!L$2,MODULY_CBA!$B$3:$M$23,12,0),0),0)</f>
        <v>0</v>
      </c>
      <c r="M79" s="573">
        <f>IFERROR(IF(VLOOKUP(M$2,MODULY_CBA!$B$3:$N$23,13,0)&lt;='TCO TO BE- SW'!$D79,SUM('TCO TO BE- SW'!M$6:M$15)*VLOOKUP('TCO TO BE- SW'!M$2,MODULY_CBA!$B$3:$M$23,12,0),0),0)</f>
        <v>0</v>
      </c>
      <c r="N79" s="573">
        <f>IFERROR(IF(VLOOKUP(N$2,MODULY_CBA!$B$3:$N$23,13,0)&lt;='TCO TO BE- SW'!$D79,SUM('TCO TO BE- SW'!N$6:N$15)*VLOOKUP('TCO TO BE- SW'!N$2,MODULY_CBA!$B$3:$M$23,12,0),0),0)</f>
        <v>0</v>
      </c>
      <c r="O79" s="573">
        <f>IFERROR(IF(VLOOKUP(O$2,MODULY_CBA!$B$3:$N$23,13,0)&lt;='TCO TO BE- SW'!$D79,SUM('TCO TO BE- SW'!O$6:O$15)*VLOOKUP('TCO TO BE- SW'!O$2,MODULY_CBA!$B$3:$M$23,12,0),0),0)</f>
        <v>0</v>
      </c>
      <c r="P79" s="573">
        <f>IFERROR(IF(VLOOKUP(P$2,MODULY_CBA!$B$3:$N$23,13,0)&lt;='TCO TO BE- SW'!$D79,SUM('TCO TO BE- SW'!P$6:P$15)*VLOOKUP('TCO TO BE- SW'!P$2,MODULY_CBA!$B$3:$M$23,12,0),0),0)</f>
        <v>0</v>
      </c>
      <c r="Q79" s="573">
        <f>IFERROR(IF(VLOOKUP(Q$2,MODULY_CBA!$B$3:$N$23,13,0)&lt;='TCO TO BE- SW'!$D79,SUM('TCO TO BE- SW'!Q$6:Q$15)*VLOOKUP('TCO TO BE- SW'!Q$2,MODULY_CBA!$B$3:$M$23,12,0),0),0)</f>
        <v>0</v>
      </c>
      <c r="R79" s="573">
        <f>IFERROR(IF(VLOOKUP(R$2,MODULY_CBA!$B$3:$N$23,13,0)&lt;='TCO TO BE- SW'!$D79,SUM('TCO TO BE- SW'!R$6:R$15)*VLOOKUP('TCO TO BE- SW'!R$2,MODULY_CBA!$B$3:$M$23,12,0),0),0)</f>
        <v>0</v>
      </c>
      <c r="S79" s="573">
        <f>IFERROR(IF(VLOOKUP(S$2,MODULY_CBA!$B$3:$N$23,13,0)&lt;='TCO TO BE- SW'!$D79,SUM('TCO TO BE- SW'!S$6:S$15)*VLOOKUP('TCO TO BE- SW'!S$2,MODULY_CBA!$B$3:$M$23,12,0),0),0)</f>
        <v>0</v>
      </c>
      <c r="T79" s="573">
        <f>IFERROR(IF(VLOOKUP(T$2,MODULY_CBA!$B$3:$N$23,13,0)&lt;='TCO TO BE- SW'!$D79,SUM('TCO TO BE- SW'!T$6:T$15)*VLOOKUP('TCO TO BE- SW'!T$2,MODULY_CBA!$B$3:$M$23,12,0),0),0)</f>
        <v>0</v>
      </c>
      <c r="U79" s="573">
        <f>IFERROR(IF(VLOOKUP(U$2,MODULY_CBA!$B$3:$N$23,13,0)&lt;='TCO TO BE- SW'!$D79,SUM('TCO TO BE- SW'!U$6:U$15)*VLOOKUP('TCO TO BE- SW'!U$2,MODULY_CBA!$B$3:$M$23,12,0),0),0)</f>
        <v>0</v>
      </c>
      <c r="V79" s="573">
        <f>IFERROR(IF(VLOOKUP(V$2,MODULY_CBA!$B$3:$N$23,13,0)&lt;='TCO TO BE- SW'!$D79,SUM('TCO TO BE- SW'!V$6:V$15)*VLOOKUP('TCO TO BE- SW'!V$2,MODULY_CBA!$B$3:$M$23,12,0),0),0)</f>
        <v>0</v>
      </c>
      <c r="W79" s="573">
        <f>IFERROR(IF(VLOOKUP(W$2,MODULY_CBA!$B$3:$N$23,13,0)&lt;='TCO TO BE- SW'!$D79,SUM('TCO TO BE- SW'!W$6:W$15)*VLOOKUP('TCO TO BE- SW'!W$2,MODULY_CBA!$B$3:$M$23,12,0),0),0)</f>
        <v>0</v>
      </c>
      <c r="X79" s="573">
        <f>IFERROR(IF(VLOOKUP(X$2,MODULY_CBA!$B$3:$N$23,13,0)&lt;='TCO TO BE- SW'!$D79,SUM('TCO TO BE- SW'!X$6:X$15)*VLOOKUP('TCO TO BE- SW'!X$2,MODULY_CBA!$B$3:$M$23,12,0),0),0)</f>
        <v>0</v>
      </c>
      <c r="Y79" s="573">
        <f>IFERROR(IF(VLOOKUP(Y$2,MODULY_CBA!$B$3:$N$23,13,0)&lt;='TCO TO BE- SW'!$D79,SUM('TCO TO BE- SW'!Y$6:Y$15)*VLOOKUP('TCO TO BE- SW'!Y$2,MODULY_CBA!$B$3:$M$23,12,0),0),0)</f>
        <v>0</v>
      </c>
      <c r="Z79" s="573">
        <f>IFERROR(IF(VLOOKUP(Z$2,MODULY_CBA!$B$3:$N$23,13,0)&lt;='TCO TO BE- SW'!$D79,SUM('TCO TO BE- SW'!Z$6:Z$15)*VLOOKUP('TCO TO BE- SW'!Z$2,MODULY_CBA!$B$3:$M$23,12,0),0),0)</f>
        <v>0</v>
      </c>
    </row>
    <row r="80" spans="1:26" outlineLevel="2">
      <c r="A80" s="807"/>
      <c r="B80" s="808"/>
      <c r="C80" s="808"/>
      <c r="D80" s="64">
        <v>2</v>
      </c>
      <c r="E80" s="61">
        <f t="shared" si="12"/>
        <v>0</v>
      </c>
      <c r="F80" s="574">
        <f>IFERROR(IF(VLOOKUP(F$2,MODULY_CBA!$B$3:$N$23,13,0)&lt;='TCO TO BE- SW'!$D80,SUM('TCO TO BE- SW'!F$6:F$15)*VLOOKUP('TCO TO BE- SW'!F$2,MODULY_CBA!$B$3:$M$23,12,0),0),0)</f>
        <v>0</v>
      </c>
      <c r="G80" s="574">
        <f>IFERROR(IF(VLOOKUP(G$2,MODULY_CBA!$B$3:$N$23,13,0)&lt;='TCO TO BE- SW'!$D80,SUM('TCO TO BE- SW'!G$6:G$15)*VLOOKUP('TCO TO BE- SW'!G$2,MODULY_CBA!$B$3:$M$23,12,0),0),0)</f>
        <v>0</v>
      </c>
      <c r="H80" s="574">
        <f>IFERROR(IF(VLOOKUP(H$2,MODULY_CBA!$B$3:$N$23,13,0)&lt;='TCO TO BE- SW'!$D80,SUM('TCO TO BE- SW'!H$6:H$15)*VLOOKUP('TCO TO BE- SW'!H$2,MODULY_CBA!$B$3:$M$23,12,0),0),0)</f>
        <v>0</v>
      </c>
      <c r="I80" s="574">
        <f>IFERROR(IF(VLOOKUP(I$2,MODULY_CBA!$B$3:$N$23,13,0)&lt;='TCO TO BE- SW'!$D80,SUM('TCO TO BE- SW'!I$6:I$15)*VLOOKUP('TCO TO BE- SW'!I$2,MODULY_CBA!$B$3:$M$23,12,0),0),0)</f>
        <v>0</v>
      </c>
      <c r="J80" s="574">
        <f>IFERROR(IF(VLOOKUP(J$2,MODULY_CBA!$B$3:$N$23,13,0)&lt;='TCO TO BE- SW'!$D80,SUM('TCO TO BE- SW'!J$6:J$15)*VLOOKUP('TCO TO BE- SW'!J$2,MODULY_CBA!$B$3:$M$23,12,0),0),0)</f>
        <v>0</v>
      </c>
      <c r="K80" s="574">
        <f>IFERROR(IF(VLOOKUP(K$2,MODULY_CBA!$B$3:$N$23,13,0)&lt;='TCO TO BE- SW'!$D80,SUM('TCO TO BE- SW'!K$6:K$15)*VLOOKUP('TCO TO BE- SW'!K$2,MODULY_CBA!$B$3:$M$23,12,0),0),0)</f>
        <v>0</v>
      </c>
      <c r="L80" s="574">
        <f>IFERROR(IF(VLOOKUP(L$2,MODULY_CBA!$B$3:$N$23,13,0)&lt;='TCO TO BE- SW'!$D80,SUM('TCO TO BE- SW'!L$6:L$15)*VLOOKUP('TCO TO BE- SW'!L$2,MODULY_CBA!$B$3:$M$23,12,0),0),0)</f>
        <v>0</v>
      </c>
      <c r="M80" s="574">
        <f>IFERROR(IF(VLOOKUP(M$2,MODULY_CBA!$B$3:$N$23,13,0)&lt;='TCO TO BE- SW'!$D80,SUM('TCO TO BE- SW'!M$6:M$15)*VLOOKUP('TCO TO BE- SW'!M$2,MODULY_CBA!$B$3:$M$23,12,0),0),0)</f>
        <v>0</v>
      </c>
      <c r="N80" s="574">
        <f>IFERROR(IF(VLOOKUP(N$2,MODULY_CBA!$B$3:$N$23,13,0)&lt;='TCO TO BE- SW'!$D80,SUM('TCO TO BE- SW'!N$6:N$15)*VLOOKUP('TCO TO BE- SW'!N$2,MODULY_CBA!$B$3:$M$23,12,0),0),0)</f>
        <v>0</v>
      </c>
      <c r="O80" s="574">
        <f>IFERROR(IF(VLOOKUP(O$2,MODULY_CBA!$B$3:$N$23,13,0)&lt;='TCO TO BE- SW'!$D80,SUM('TCO TO BE- SW'!O$6:O$15)*VLOOKUP('TCO TO BE- SW'!O$2,MODULY_CBA!$B$3:$M$23,12,0),0),0)</f>
        <v>0</v>
      </c>
      <c r="P80" s="574">
        <f>IFERROR(IF(VLOOKUP(P$2,MODULY_CBA!$B$3:$N$23,13,0)&lt;='TCO TO BE- SW'!$D80,SUM('TCO TO BE- SW'!P$6:P$15)*VLOOKUP('TCO TO BE- SW'!P$2,MODULY_CBA!$B$3:$M$23,12,0),0),0)</f>
        <v>0</v>
      </c>
      <c r="Q80" s="574">
        <f>IFERROR(IF(VLOOKUP(Q$2,MODULY_CBA!$B$3:$N$23,13,0)&lt;='TCO TO BE- SW'!$D80,SUM('TCO TO BE- SW'!Q$6:Q$15)*VLOOKUP('TCO TO BE- SW'!Q$2,MODULY_CBA!$B$3:$M$23,12,0),0),0)</f>
        <v>0</v>
      </c>
      <c r="R80" s="574">
        <f>IFERROR(IF(VLOOKUP(R$2,MODULY_CBA!$B$3:$N$23,13,0)&lt;='TCO TO BE- SW'!$D80,SUM('TCO TO BE- SW'!R$6:R$15)*VLOOKUP('TCO TO BE- SW'!R$2,MODULY_CBA!$B$3:$M$23,12,0),0),0)</f>
        <v>0</v>
      </c>
      <c r="S80" s="574">
        <f>IFERROR(IF(VLOOKUP(S$2,MODULY_CBA!$B$3:$N$23,13,0)&lt;='TCO TO BE- SW'!$D80,SUM('TCO TO BE- SW'!S$6:S$15)*VLOOKUP('TCO TO BE- SW'!S$2,MODULY_CBA!$B$3:$M$23,12,0),0),0)</f>
        <v>0</v>
      </c>
      <c r="T80" s="574">
        <f>IFERROR(IF(VLOOKUP(T$2,MODULY_CBA!$B$3:$N$23,13,0)&lt;='TCO TO BE- SW'!$D80,SUM('TCO TO BE- SW'!T$6:T$15)*VLOOKUP('TCO TO BE- SW'!T$2,MODULY_CBA!$B$3:$M$23,12,0),0),0)</f>
        <v>0</v>
      </c>
      <c r="U80" s="574">
        <f>IFERROR(IF(VLOOKUP(U$2,MODULY_CBA!$B$3:$N$23,13,0)&lt;='TCO TO BE- SW'!$D80,SUM('TCO TO BE- SW'!U$6:U$15)*VLOOKUP('TCO TO BE- SW'!U$2,MODULY_CBA!$B$3:$M$23,12,0),0),0)</f>
        <v>0</v>
      </c>
      <c r="V80" s="574">
        <f>IFERROR(IF(VLOOKUP(V$2,MODULY_CBA!$B$3:$N$23,13,0)&lt;='TCO TO BE- SW'!$D80,SUM('TCO TO BE- SW'!V$6:V$15)*VLOOKUP('TCO TO BE- SW'!V$2,MODULY_CBA!$B$3:$M$23,12,0),0),0)</f>
        <v>0</v>
      </c>
      <c r="W80" s="574">
        <f>IFERROR(IF(VLOOKUP(W$2,MODULY_CBA!$B$3:$N$23,13,0)&lt;='TCO TO BE- SW'!$D80,SUM('TCO TO BE- SW'!W$6:W$15)*VLOOKUP('TCO TO BE- SW'!W$2,MODULY_CBA!$B$3:$M$23,12,0),0),0)</f>
        <v>0</v>
      </c>
      <c r="X80" s="574">
        <f>IFERROR(IF(VLOOKUP(X$2,MODULY_CBA!$B$3:$N$23,13,0)&lt;='TCO TO BE- SW'!$D80,SUM('TCO TO BE- SW'!X$6:X$15)*VLOOKUP('TCO TO BE- SW'!X$2,MODULY_CBA!$B$3:$M$23,12,0),0),0)</f>
        <v>0</v>
      </c>
      <c r="Y80" s="574">
        <f>IFERROR(IF(VLOOKUP(Y$2,MODULY_CBA!$B$3:$N$23,13,0)&lt;='TCO TO BE- SW'!$D80,SUM('TCO TO BE- SW'!Y$6:Y$15)*VLOOKUP('TCO TO BE- SW'!Y$2,MODULY_CBA!$B$3:$M$23,12,0),0),0)</f>
        <v>0</v>
      </c>
      <c r="Z80" s="574">
        <f>IFERROR(IF(VLOOKUP(Z$2,MODULY_CBA!$B$3:$N$23,13,0)&lt;='TCO TO BE- SW'!$D80,SUM('TCO TO BE- SW'!Z$6:Z$15)*VLOOKUP('TCO TO BE- SW'!Z$2,MODULY_CBA!$B$3:$M$23,12,0),0),0)</f>
        <v>0</v>
      </c>
    </row>
    <row r="81" spans="1:26" outlineLevel="2">
      <c r="A81" s="807"/>
      <c r="B81" s="808"/>
      <c r="C81" s="808"/>
      <c r="D81" s="64">
        <v>3</v>
      </c>
      <c r="E81" s="61">
        <f t="shared" si="12"/>
        <v>352000</v>
      </c>
      <c r="F81" s="575">
        <f>IFERROR(IF(VLOOKUP(F$2,MODULY_CBA!$B$3:$N$23,13,0)&lt;='TCO TO BE- SW'!$D81,SUM('TCO TO BE- SW'!F$6:F$15)*VLOOKUP('TCO TO BE- SW'!F$2,MODULY_CBA!$B$3:$M$23,12,0),0),0)</f>
        <v>352000</v>
      </c>
      <c r="G81" s="575">
        <f>IFERROR(IF(VLOOKUP(G$2,MODULY_CBA!$B$3:$N$23,13,0)&lt;='TCO TO BE- SW'!$D81,SUM('TCO TO BE- SW'!G$6:G$15)*VLOOKUP('TCO TO BE- SW'!G$2,MODULY_CBA!$B$3:$M$23,12,0),0),0)</f>
        <v>0</v>
      </c>
      <c r="H81" s="575">
        <f>IFERROR(IF(VLOOKUP(H$2,MODULY_CBA!$B$3:$N$23,13,0)&lt;='TCO TO BE- SW'!$D81,SUM('TCO TO BE- SW'!H$6:H$15)*VLOOKUP('TCO TO BE- SW'!H$2,MODULY_CBA!$B$3:$M$23,12,0),0),0)</f>
        <v>0</v>
      </c>
      <c r="I81" s="575">
        <f>IFERROR(IF(VLOOKUP(I$2,MODULY_CBA!$B$3:$N$23,13,0)&lt;='TCO TO BE- SW'!$D81,SUM('TCO TO BE- SW'!I$6:I$15)*VLOOKUP('TCO TO BE- SW'!I$2,MODULY_CBA!$B$3:$M$23,12,0),0),0)</f>
        <v>0</v>
      </c>
      <c r="J81" s="575">
        <f>IFERROR(IF(VLOOKUP(J$2,MODULY_CBA!$B$3:$N$23,13,0)&lt;='TCO TO BE- SW'!$D81,SUM('TCO TO BE- SW'!J$6:J$15)*VLOOKUP('TCO TO BE- SW'!J$2,MODULY_CBA!$B$3:$M$23,12,0),0),0)</f>
        <v>0</v>
      </c>
      <c r="K81" s="575">
        <f>IFERROR(IF(VLOOKUP(K$2,MODULY_CBA!$B$3:$N$23,13,0)&lt;='TCO TO BE- SW'!$D81,SUM('TCO TO BE- SW'!K$6:K$15)*VLOOKUP('TCO TO BE- SW'!K$2,MODULY_CBA!$B$3:$M$23,12,0),0),0)</f>
        <v>0</v>
      </c>
      <c r="L81" s="575">
        <f>IFERROR(IF(VLOOKUP(L$2,MODULY_CBA!$B$3:$N$23,13,0)&lt;='TCO TO BE- SW'!$D81,SUM('TCO TO BE- SW'!L$6:L$15)*VLOOKUP('TCO TO BE- SW'!L$2,MODULY_CBA!$B$3:$M$23,12,0),0),0)</f>
        <v>0</v>
      </c>
      <c r="M81" s="575">
        <f>IFERROR(IF(VLOOKUP(M$2,MODULY_CBA!$B$3:$N$23,13,0)&lt;='TCO TO BE- SW'!$D81,SUM('TCO TO BE- SW'!M$6:M$15)*VLOOKUP('TCO TO BE- SW'!M$2,MODULY_CBA!$B$3:$M$23,12,0),0),0)</f>
        <v>0</v>
      </c>
      <c r="N81" s="575">
        <f>IFERROR(IF(VLOOKUP(N$2,MODULY_CBA!$B$3:$N$23,13,0)&lt;='TCO TO BE- SW'!$D81,SUM('TCO TO BE- SW'!N$6:N$15)*VLOOKUP('TCO TO BE- SW'!N$2,MODULY_CBA!$B$3:$M$23,12,0),0),0)</f>
        <v>0</v>
      </c>
      <c r="O81" s="575">
        <f>IFERROR(IF(VLOOKUP(O$2,MODULY_CBA!$B$3:$N$23,13,0)&lt;='TCO TO BE- SW'!$D81,SUM('TCO TO BE- SW'!O$6:O$15)*VLOOKUP('TCO TO BE- SW'!O$2,MODULY_CBA!$B$3:$M$23,12,0),0),0)</f>
        <v>0</v>
      </c>
      <c r="P81" s="575">
        <f>IFERROR(IF(VLOOKUP(P$2,MODULY_CBA!$B$3:$N$23,13,0)&lt;='TCO TO BE- SW'!$D81,SUM('TCO TO BE- SW'!P$6:P$15)*VLOOKUP('TCO TO BE- SW'!P$2,MODULY_CBA!$B$3:$M$23,12,0),0),0)</f>
        <v>0</v>
      </c>
      <c r="Q81" s="575">
        <f>IFERROR(IF(VLOOKUP(Q$2,MODULY_CBA!$B$3:$N$23,13,0)&lt;='TCO TO BE- SW'!$D81,SUM('TCO TO BE- SW'!Q$6:Q$15)*VLOOKUP('TCO TO BE- SW'!Q$2,MODULY_CBA!$B$3:$M$23,12,0),0),0)</f>
        <v>0</v>
      </c>
      <c r="R81" s="575">
        <f>IFERROR(IF(VLOOKUP(R$2,MODULY_CBA!$B$3:$N$23,13,0)&lt;='TCO TO BE- SW'!$D81,SUM('TCO TO BE- SW'!R$6:R$15)*VLOOKUP('TCO TO BE- SW'!R$2,MODULY_CBA!$B$3:$M$23,12,0),0),0)</f>
        <v>0</v>
      </c>
      <c r="S81" s="575">
        <f>IFERROR(IF(VLOOKUP(S$2,MODULY_CBA!$B$3:$N$23,13,0)&lt;='TCO TO BE- SW'!$D81,SUM('TCO TO BE- SW'!S$6:S$15)*VLOOKUP('TCO TO BE- SW'!S$2,MODULY_CBA!$B$3:$M$23,12,0),0),0)</f>
        <v>0</v>
      </c>
      <c r="T81" s="575">
        <f>IFERROR(IF(VLOOKUP(T$2,MODULY_CBA!$B$3:$N$23,13,0)&lt;='TCO TO BE- SW'!$D81,SUM('TCO TO BE- SW'!T$6:T$15)*VLOOKUP('TCO TO BE- SW'!T$2,MODULY_CBA!$B$3:$M$23,12,0),0),0)</f>
        <v>0</v>
      </c>
      <c r="U81" s="575">
        <f>IFERROR(IF(VLOOKUP(U$2,MODULY_CBA!$B$3:$N$23,13,0)&lt;='TCO TO BE- SW'!$D81,SUM('TCO TO BE- SW'!U$6:U$15)*VLOOKUP('TCO TO BE- SW'!U$2,MODULY_CBA!$B$3:$M$23,12,0),0),0)</f>
        <v>0</v>
      </c>
      <c r="V81" s="575">
        <f>IFERROR(IF(VLOOKUP(V$2,MODULY_CBA!$B$3:$N$23,13,0)&lt;='TCO TO BE- SW'!$D81,SUM('TCO TO BE- SW'!V$6:V$15)*VLOOKUP('TCO TO BE- SW'!V$2,MODULY_CBA!$B$3:$M$23,12,0),0),0)</f>
        <v>0</v>
      </c>
      <c r="W81" s="575">
        <f>IFERROR(IF(VLOOKUP(W$2,MODULY_CBA!$B$3:$N$23,13,0)&lt;='TCO TO BE- SW'!$D81,SUM('TCO TO BE- SW'!W$6:W$15)*VLOOKUP('TCO TO BE- SW'!W$2,MODULY_CBA!$B$3:$M$23,12,0),0),0)</f>
        <v>0</v>
      </c>
      <c r="X81" s="575">
        <f>IFERROR(IF(VLOOKUP(X$2,MODULY_CBA!$B$3:$N$23,13,0)&lt;='TCO TO BE- SW'!$D81,SUM('TCO TO BE- SW'!X$6:X$15)*VLOOKUP('TCO TO BE- SW'!X$2,MODULY_CBA!$B$3:$M$23,12,0),0),0)</f>
        <v>0</v>
      </c>
      <c r="Y81" s="575">
        <f>IFERROR(IF(VLOOKUP(Y$2,MODULY_CBA!$B$3:$N$23,13,0)&lt;='TCO TO BE- SW'!$D81,SUM('TCO TO BE- SW'!Y$6:Y$15)*VLOOKUP('TCO TO BE- SW'!Y$2,MODULY_CBA!$B$3:$M$23,12,0),0),0)</f>
        <v>0</v>
      </c>
      <c r="Z81" s="575">
        <f>IFERROR(IF(VLOOKUP(Z$2,MODULY_CBA!$B$3:$N$23,13,0)&lt;='TCO TO BE- SW'!$D81,SUM('TCO TO BE- SW'!Z$6:Z$15)*VLOOKUP('TCO TO BE- SW'!Z$2,MODULY_CBA!$B$3:$M$23,12,0),0),0)</f>
        <v>0</v>
      </c>
    </row>
    <row r="82" spans="1:26" outlineLevel="2">
      <c r="A82" s="807"/>
      <c r="B82" s="808"/>
      <c r="C82" s="808"/>
      <c r="D82" s="64">
        <v>4</v>
      </c>
      <c r="E82" s="61">
        <f t="shared" si="12"/>
        <v>352000</v>
      </c>
      <c r="F82" s="575">
        <f>IFERROR(IF(VLOOKUP(F$2,MODULY_CBA!$B$3:$N$23,13,0)&lt;='TCO TO BE- SW'!$D82,SUM('TCO TO BE- SW'!F$6:F$15)*VLOOKUP('TCO TO BE- SW'!F$2,MODULY_CBA!$B$3:$M$23,12,0),0),0)</f>
        <v>352000</v>
      </c>
      <c r="G82" s="575">
        <f>IFERROR(IF(VLOOKUP(G$2,MODULY_CBA!$B$3:$N$23,13,0)&lt;='TCO TO BE- SW'!$D82,SUM('TCO TO BE- SW'!G$6:G$15)*VLOOKUP('TCO TO BE- SW'!G$2,MODULY_CBA!$B$3:$M$23,12,0),0),0)</f>
        <v>0</v>
      </c>
      <c r="H82" s="575">
        <f>IFERROR(IF(VLOOKUP(H$2,MODULY_CBA!$B$3:$N$23,13,0)&lt;='TCO TO BE- SW'!$D82,SUM('TCO TO BE- SW'!H$6:H$15)*VLOOKUP('TCO TO BE- SW'!H$2,MODULY_CBA!$B$3:$M$23,12,0),0),0)</f>
        <v>0</v>
      </c>
      <c r="I82" s="575">
        <f>IFERROR(IF(VLOOKUP(I$2,MODULY_CBA!$B$3:$N$23,13,0)&lt;='TCO TO BE- SW'!$D82,SUM('TCO TO BE- SW'!I$6:I$15)*VLOOKUP('TCO TO BE- SW'!I$2,MODULY_CBA!$B$3:$M$23,12,0),0),0)</f>
        <v>0</v>
      </c>
      <c r="J82" s="575">
        <f>IFERROR(IF(VLOOKUP(J$2,MODULY_CBA!$B$3:$N$23,13,0)&lt;='TCO TO BE- SW'!$D82,SUM('TCO TO BE- SW'!J$6:J$15)*VLOOKUP('TCO TO BE- SW'!J$2,MODULY_CBA!$B$3:$M$23,12,0),0),0)</f>
        <v>0</v>
      </c>
      <c r="K82" s="575">
        <f>IFERROR(IF(VLOOKUP(K$2,MODULY_CBA!$B$3:$N$23,13,0)&lt;='TCO TO BE- SW'!$D82,SUM('TCO TO BE- SW'!K$6:K$15)*VLOOKUP('TCO TO BE- SW'!K$2,MODULY_CBA!$B$3:$M$23,12,0),0),0)</f>
        <v>0</v>
      </c>
      <c r="L82" s="575">
        <f>IFERROR(IF(VLOOKUP(L$2,MODULY_CBA!$B$3:$N$23,13,0)&lt;='TCO TO BE- SW'!$D82,SUM('TCO TO BE- SW'!L$6:L$15)*VLOOKUP('TCO TO BE- SW'!L$2,MODULY_CBA!$B$3:$M$23,12,0),0),0)</f>
        <v>0</v>
      </c>
      <c r="M82" s="575">
        <f>IFERROR(IF(VLOOKUP(M$2,MODULY_CBA!$B$3:$N$23,13,0)&lt;='TCO TO BE- SW'!$D82,SUM('TCO TO BE- SW'!M$6:M$15)*VLOOKUP('TCO TO BE- SW'!M$2,MODULY_CBA!$B$3:$M$23,12,0),0),0)</f>
        <v>0</v>
      </c>
      <c r="N82" s="575">
        <f>IFERROR(IF(VLOOKUP(N$2,MODULY_CBA!$B$3:$N$23,13,0)&lt;='TCO TO BE- SW'!$D82,SUM('TCO TO BE- SW'!N$6:N$15)*VLOOKUP('TCO TO BE- SW'!N$2,MODULY_CBA!$B$3:$M$23,12,0),0),0)</f>
        <v>0</v>
      </c>
      <c r="O82" s="575">
        <f>IFERROR(IF(VLOOKUP(O$2,MODULY_CBA!$B$3:$N$23,13,0)&lt;='TCO TO BE- SW'!$D82,SUM('TCO TO BE- SW'!O$6:O$15)*VLOOKUP('TCO TO BE- SW'!O$2,MODULY_CBA!$B$3:$M$23,12,0),0),0)</f>
        <v>0</v>
      </c>
      <c r="P82" s="575">
        <f>IFERROR(IF(VLOOKUP(P$2,MODULY_CBA!$B$3:$N$23,13,0)&lt;='TCO TO BE- SW'!$D82,SUM('TCO TO BE- SW'!P$6:P$15)*VLOOKUP('TCO TO BE- SW'!P$2,MODULY_CBA!$B$3:$M$23,12,0),0),0)</f>
        <v>0</v>
      </c>
      <c r="Q82" s="575">
        <f>IFERROR(IF(VLOOKUP(Q$2,MODULY_CBA!$B$3:$N$23,13,0)&lt;='TCO TO BE- SW'!$D82,SUM('TCO TO BE- SW'!Q$6:Q$15)*VLOOKUP('TCO TO BE- SW'!Q$2,MODULY_CBA!$B$3:$M$23,12,0),0),0)</f>
        <v>0</v>
      </c>
      <c r="R82" s="575">
        <f>IFERROR(IF(VLOOKUP(R$2,MODULY_CBA!$B$3:$N$23,13,0)&lt;='TCO TO BE- SW'!$D82,SUM('TCO TO BE- SW'!R$6:R$15)*VLOOKUP('TCO TO BE- SW'!R$2,MODULY_CBA!$B$3:$M$23,12,0),0),0)</f>
        <v>0</v>
      </c>
      <c r="S82" s="575">
        <f>IFERROR(IF(VLOOKUP(S$2,MODULY_CBA!$B$3:$N$23,13,0)&lt;='TCO TO BE- SW'!$D82,SUM('TCO TO BE- SW'!S$6:S$15)*VLOOKUP('TCO TO BE- SW'!S$2,MODULY_CBA!$B$3:$M$23,12,0),0),0)</f>
        <v>0</v>
      </c>
      <c r="T82" s="575">
        <f>IFERROR(IF(VLOOKUP(T$2,MODULY_CBA!$B$3:$N$23,13,0)&lt;='TCO TO BE- SW'!$D82,SUM('TCO TO BE- SW'!T$6:T$15)*VLOOKUP('TCO TO BE- SW'!T$2,MODULY_CBA!$B$3:$M$23,12,0),0),0)</f>
        <v>0</v>
      </c>
      <c r="U82" s="575">
        <f>IFERROR(IF(VLOOKUP(U$2,MODULY_CBA!$B$3:$N$23,13,0)&lt;='TCO TO BE- SW'!$D82,SUM('TCO TO BE- SW'!U$6:U$15)*VLOOKUP('TCO TO BE- SW'!U$2,MODULY_CBA!$B$3:$M$23,12,0),0),0)</f>
        <v>0</v>
      </c>
      <c r="V82" s="575">
        <f>IFERROR(IF(VLOOKUP(V$2,MODULY_CBA!$B$3:$N$23,13,0)&lt;='TCO TO BE- SW'!$D82,SUM('TCO TO BE- SW'!V$6:V$15)*VLOOKUP('TCO TO BE- SW'!V$2,MODULY_CBA!$B$3:$M$23,12,0),0),0)</f>
        <v>0</v>
      </c>
      <c r="W82" s="575">
        <f>IFERROR(IF(VLOOKUP(W$2,MODULY_CBA!$B$3:$N$23,13,0)&lt;='TCO TO BE- SW'!$D82,SUM('TCO TO BE- SW'!W$6:W$15)*VLOOKUP('TCO TO BE- SW'!W$2,MODULY_CBA!$B$3:$M$23,12,0),0),0)</f>
        <v>0</v>
      </c>
      <c r="X82" s="575">
        <f>IFERROR(IF(VLOOKUP(X$2,MODULY_CBA!$B$3:$N$23,13,0)&lt;='TCO TO BE- SW'!$D82,SUM('TCO TO BE- SW'!X$6:X$15)*VLOOKUP('TCO TO BE- SW'!X$2,MODULY_CBA!$B$3:$M$23,12,0),0),0)</f>
        <v>0</v>
      </c>
      <c r="Y82" s="575">
        <f>IFERROR(IF(VLOOKUP(Y$2,MODULY_CBA!$B$3:$N$23,13,0)&lt;='TCO TO BE- SW'!$D82,SUM('TCO TO BE- SW'!Y$6:Y$15)*VLOOKUP('TCO TO BE- SW'!Y$2,MODULY_CBA!$B$3:$M$23,12,0),0),0)</f>
        <v>0</v>
      </c>
      <c r="Z82" s="575">
        <f>IFERROR(IF(VLOOKUP(Z$2,MODULY_CBA!$B$3:$N$23,13,0)&lt;='TCO TO BE- SW'!$D82,SUM('TCO TO BE- SW'!Z$6:Z$15)*VLOOKUP('TCO TO BE- SW'!Z$2,MODULY_CBA!$B$3:$M$23,12,0),0),0)</f>
        <v>0</v>
      </c>
    </row>
    <row r="83" spans="1:26" outlineLevel="2">
      <c r="A83" s="807"/>
      <c r="B83" s="808"/>
      <c r="C83" s="808"/>
      <c r="D83" s="64">
        <v>5</v>
      </c>
      <c r="E83" s="61">
        <f t="shared" si="12"/>
        <v>352000</v>
      </c>
      <c r="F83" s="575">
        <f>IFERROR(IF(VLOOKUP(F$2,MODULY_CBA!$B$3:$N$23,13,0)&lt;='TCO TO BE- SW'!$D83,SUM('TCO TO BE- SW'!F$6:F$15)*VLOOKUP('TCO TO BE- SW'!F$2,MODULY_CBA!$B$3:$M$23,12,0),0),0)</f>
        <v>352000</v>
      </c>
      <c r="G83" s="575">
        <f>IFERROR(IF(VLOOKUP(G$2,MODULY_CBA!$B$3:$N$23,13,0)&lt;='TCO TO BE- SW'!$D83,SUM('TCO TO BE- SW'!G$6:G$15)*VLOOKUP('TCO TO BE- SW'!G$2,MODULY_CBA!$B$3:$M$23,12,0),0),0)</f>
        <v>0</v>
      </c>
      <c r="H83" s="575">
        <f>IFERROR(IF(VLOOKUP(H$2,MODULY_CBA!$B$3:$N$23,13,0)&lt;='TCO TO BE- SW'!$D83,SUM('TCO TO BE- SW'!H$6:H$15)*VLOOKUP('TCO TO BE- SW'!H$2,MODULY_CBA!$B$3:$M$23,12,0),0),0)</f>
        <v>0</v>
      </c>
      <c r="I83" s="575">
        <f>IFERROR(IF(VLOOKUP(I$2,MODULY_CBA!$B$3:$N$23,13,0)&lt;='TCO TO BE- SW'!$D83,SUM('TCO TO BE- SW'!I$6:I$15)*VLOOKUP('TCO TO BE- SW'!I$2,MODULY_CBA!$B$3:$M$23,12,0),0),0)</f>
        <v>0</v>
      </c>
      <c r="J83" s="575">
        <f>IFERROR(IF(VLOOKUP(J$2,MODULY_CBA!$B$3:$N$23,13,0)&lt;='TCO TO BE- SW'!$D83,SUM('TCO TO BE- SW'!J$6:J$15)*VLOOKUP('TCO TO BE- SW'!J$2,MODULY_CBA!$B$3:$M$23,12,0),0),0)</f>
        <v>0</v>
      </c>
      <c r="K83" s="575">
        <f>IFERROR(IF(VLOOKUP(K$2,MODULY_CBA!$B$3:$N$23,13,0)&lt;='TCO TO BE- SW'!$D83,SUM('TCO TO BE- SW'!K$6:K$15)*VLOOKUP('TCO TO BE- SW'!K$2,MODULY_CBA!$B$3:$M$23,12,0),0),0)</f>
        <v>0</v>
      </c>
      <c r="L83" s="575">
        <f>IFERROR(IF(VLOOKUP(L$2,MODULY_CBA!$B$3:$N$23,13,0)&lt;='TCO TO BE- SW'!$D83,SUM('TCO TO BE- SW'!L$6:L$15)*VLOOKUP('TCO TO BE- SW'!L$2,MODULY_CBA!$B$3:$M$23,12,0),0),0)</f>
        <v>0</v>
      </c>
      <c r="M83" s="575">
        <f>IFERROR(IF(VLOOKUP(M$2,MODULY_CBA!$B$3:$N$23,13,0)&lt;='TCO TO BE- SW'!$D83,SUM('TCO TO BE- SW'!M$6:M$15)*VLOOKUP('TCO TO BE- SW'!M$2,MODULY_CBA!$B$3:$M$23,12,0),0),0)</f>
        <v>0</v>
      </c>
      <c r="N83" s="575">
        <f>IFERROR(IF(VLOOKUP(N$2,MODULY_CBA!$B$3:$N$23,13,0)&lt;='TCO TO BE- SW'!$D83,SUM('TCO TO BE- SW'!N$6:N$15)*VLOOKUP('TCO TO BE- SW'!N$2,MODULY_CBA!$B$3:$M$23,12,0),0),0)</f>
        <v>0</v>
      </c>
      <c r="O83" s="575">
        <f>IFERROR(IF(VLOOKUP(O$2,MODULY_CBA!$B$3:$N$23,13,0)&lt;='TCO TO BE- SW'!$D83,SUM('TCO TO BE- SW'!O$6:O$15)*VLOOKUP('TCO TO BE- SW'!O$2,MODULY_CBA!$B$3:$M$23,12,0),0),0)</f>
        <v>0</v>
      </c>
      <c r="P83" s="575">
        <f>IFERROR(IF(VLOOKUP(P$2,MODULY_CBA!$B$3:$N$23,13,0)&lt;='TCO TO BE- SW'!$D83,SUM('TCO TO BE- SW'!P$6:P$15)*VLOOKUP('TCO TO BE- SW'!P$2,MODULY_CBA!$B$3:$M$23,12,0),0),0)</f>
        <v>0</v>
      </c>
      <c r="Q83" s="575">
        <f>IFERROR(IF(VLOOKUP(Q$2,MODULY_CBA!$B$3:$N$23,13,0)&lt;='TCO TO BE- SW'!$D83,SUM('TCO TO BE- SW'!Q$6:Q$15)*VLOOKUP('TCO TO BE- SW'!Q$2,MODULY_CBA!$B$3:$M$23,12,0),0),0)</f>
        <v>0</v>
      </c>
      <c r="R83" s="575">
        <f>IFERROR(IF(VLOOKUP(R$2,MODULY_CBA!$B$3:$N$23,13,0)&lt;='TCO TO BE- SW'!$D83,SUM('TCO TO BE- SW'!R$6:R$15)*VLOOKUP('TCO TO BE- SW'!R$2,MODULY_CBA!$B$3:$M$23,12,0),0),0)</f>
        <v>0</v>
      </c>
      <c r="S83" s="575">
        <f>IFERROR(IF(VLOOKUP(S$2,MODULY_CBA!$B$3:$N$23,13,0)&lt;='TCO TO BE- SW'!$D83,SUM('TCO TO BE- SW'!S$6:S$15)*VLOOKUP('TCO TO BE- SW'!S$2,MODULY_CBA!$B$3:$M$23,12,0),0),0)</f>
        <v>0</v>
      </c>
      <c r="T83" s="575">
        <f>IFERROR(IF(VLOOKUP(T$2,MODULY_CBA!$B$3:$N$23,13,0)&lt;='TCO TO BE- SW'!$D83,SUM('TCO TO BE- SW'!T$6:T$15)*VLOOKUP('TCO TO BE- SW'!T$2,MODULY_CBA!$B$3:$M$23,12,0),0),0)</f>
        <v>0</v>
      </c>
      <c r="U83" s="575">
        <f>IFERROR(IF(VLOOKUP(U$2,MODULY_CBA!$B$3:$N$23,13,0)&lt;='TCO TO BE- SW'!$D83,SUM('TCO TO BE- SW'!U$6:U$15)*VLOOKUP('TCO TO BE- SW'!U$2,MODULY_CBA!$B$3:$M$23,12,0),0),0)</f>
        <v>0</v>
      </c>
      <c r="V83" s="575">
        <f>IFERROR(IF(VLOOKUP(V$2,MODULY_CBA!$B$3:$N$23,13,0)&lt;='TCO TO BE- SW'!$D83,SUM('TCO TO BE- SW'!V$6:V$15)*VLOOKUP('TCO TO BE- SW'!V$2,MODULY_CBA!$B$3:$M$23,12,0),0),0)</f>
        <v>0</v>
      </c>
      <c r="W83" s="575">
        <f>IFERROR(IF(VLOOKUP(W$2,MODULY_CBA!$B$3:$N$23,13,0)&lt;='TCO TO BE- SW'!$D83,SUM('TCO TO BE- SW'!W$6:W$15)*VLOOKUP('TCO TO BE- SW'!W$2,MODULY_CBA!$B$3:$M$23,12,0),0),0)</f>
        <v>0</v>
      </c>
      <c r="X83" s="575">
        <f>IFERROR(IF(VLOOKUP(X$2,MODULY_CBA!$B$3:$N$23,13,0)&lt;='TCO TO BE- SW'!$D83,SUM('TCO TO BE- SW'!X$6:X$15)*VLOOKUP('TCO TO BE- SW'!X$2,MODULY_CBA!$B$3:$M$23,12,0),0),0)</f>
        <v>0</v>
      </c>
      <c r="Y83" s="575">
        <f>IFERROR(IF(VLOOKUP(Y$2,MODULY_CBA!$B$3:$N$23,13,0)&lt;='TCO TO BE- SW'!$D83,SUM('TCO TO BE- SW'!Y$6:Y$15)*VLOOKUP('TCO TO BE- SW'!Y$2,MODULY_CBA!$B$3:$M$23,12,0),0),0)</f>
        <v>0</v>
      </c>
      <c r="Z83" s="575">
        <f>IFERROR(IF(VLOOKUP(Z$2,MODULY_CBA!$B$3:$N$23,13,0)&lt;='TCO TO BE- SW'!$D83,SUM('TCO TO BE- SW'!Z$6:Z$15)*VLOOKUP('TCO TO BE- SW'!Z$2,MODULY_CBA!$B$3:$M$23,12,0),0),0)</f>
        <v>0</v>
      </c>
    </row>
    <row r="84" spans="1:26" outlineLevel="2">
      <c r="A84" s="807"/>
      <c r="B84" s="808"/>
      <c r="C84" s="808"/>
      <c r="D84" s="64">
        <v>6</v>
      </c>
      <c r="E84" s="61">
        <f t="shared" si="12"/>
        <v>352000</v>
      </c>
      <c r="F84" s="575">
        <f>IFERROR(IF(VLOOKUP(F$2,MODULY_CBA!$B$3:$N$23,13,0)&lt;='TCO TO BE- SW'!$D84,SUM('TCO TO BE- SW'!F$6:F$15)*VLOOKUP('TCO TO BE- SW'!F$2,MODULY_CBA!$B$3:$M$23,12,0),0),0)</f>
        <v>352000</v>
      </c>
      <c r="G84" s="575">
        <f>IFERROR(IF(VLOOKUP(G$2,MODULY_CBA!$B$3:$N$23,13,0)&lt;='TCO TO BE- SW'!$D84,SUM('TCO TO BE- SW'!G$6:G$15)*VLOOKUP('TCO TO BE- SW'!G$2,MODULY_CBA!$B$3:$M$23,12,0),0),0)</f>
        <v>0</v>
      </c>
      <c r="H84" s="575">
        <f>IFERROR(IF(VLOOKUP(H$2,MODULY_CBA!$B$3:$N$23,13,0)&lt;='TCO TO BE- SW'!$D84,SUM('TCO TO BE- SW'!H$6:H$15)*VLOOKUP('TCO TO BE- SW'!H$2,MODULY_CBA!$B$3:$M$23,12,0),0),0)</f>
        <v>0</v>
      </c>
      <c r="I84" s="575">
        <f>IFERROR(IF(VLOOKUP(I$2,MODULY_CBA!$B$3:$N$23,13,0)&lt;='TCO TO BE- SW'!$D84,SUM('TCO TO BE- SW'!I$6:I$15)*VLOOKUP('TCO TO BE- SW'!I$2,MODULY_CBA!$B$3:$M$23,12,0),0),0)</f>
        <v>0</v>
      </c>
      <c r="J84" s="575">
        <f>IFERROR(IF(VLOOKUP(J$2,MODULY_CBA!$B$3:$N$23,13,0)&lt;='TCO TO BE- SW'!$D84,SUM('TCO TO BE- SW'!J$6:J$15)*VLOOKUP('TCO TO BE- SW'!J$2,MODULY_CBA!$B$3:$M$23,12,0),0),0)</f>
        <v>0</v>
      </c>
      <c r="K84" s="575">
        <f>IFERROR(IF(VLOOKUP(K$2,MODULY_CBA!$B$3:$N$23,13,0)&lt;='TCO TO BE- SW'!$D84,SUM('TCO TO BE- SW'!K$6:K$15)*VLOOKUP('TCO TO BE- SW'!K$2,MODULY_CBA!$B$3:$M$23,12,0),0),0)</f>
        <v>0</v>
      </c>
      <c r="L84" s="575">
        <f>IFERROR(IF(VLOOKUP(L$2,MODULY_CBA!$B$3:$N$23,13,0)&lt;='TCO TO BE- SW'!$D84,SUM('TCO TO BE- SW'!L$6:L$15)*VLOOKUP('TCO TO BE- SW'!L$2,MODULY_CBA!$B$3:$M$23,12,0),0),0)</f>
        <v>0</v>
      </c>
      <c r="M84" s="575">
        <f>IFERROR(IF(VLOOKUP(M$2,MODULY_CBA!$B$3:$N$23,13,0)&lt;='TCO TO BE- SW'!$D84,SUM('TCO TO BE- SW'!M$6:M$15)*VLOOKUP('TCO TO BE- SW'!M$2,MODULY_CBA!$B$3:$M$23,12,0),0),0)</f>
        <v>0</v>
      </c>
      <c r="N84" s="575">
        <f>IFERROR(IF(VLOOKUP(N$2,MODULY_CBA!$B$3:$N$23,13,0)&lt;='TCO TO BE- SW'!$D84,SUM('TCO TO BE- SW'!N$6:N$15)*VLOOKUP('TCO TO BE- SW'!N$2,MODULY_CBA!$B$3:$M$23,12,0),0),0)</f>
        <v>0</v>
      </c>
      <c r="O84" s="575">
        <f>IFERROR(IF(VLOOKUP(O$2,MODULY_CBA!$B$3:$N$23,13,0)&lt;='TCO TO BE- SW'!$D84,SUM('TCO TO BE- SW'!O$6:O$15)*VLOOKUP('TCO TO BE- SW'!O$2,MODULY_CBA!$B$3:$M$23,12,0),0),0)</f>
        <v>0</v>
      </c>
      <c r="P84" s="575">
        <f>IFERROR(IF(VLOOKUP(P$2,MODULY_CBA!$B$3:$N$23,13,0)&lt;='TCO TO BE- SW'!$D84,SUM('TCO TO BE- SW'!P$6:P$15)*VLOOKUP('TCO TO BE- SW'!P$2,MODULY_CBA!$B$3:$M$23,12,0),0),0)</f>
        <v>0</v>
      </c>
      <c r="Q84" s="575">
        <f>IFERROR(IF(VLOOKUP(Q$2,MODULY_CBA!$B$3:$N$23,13,0)&lt;='TCO TO BE- SW'!$D84,SUM('TCO TO BE- SW'!Q$6:Q$15)*VLOOKUP('TCO TO BE- SW'!Q$2,MODULY_CBA!$B$3:$M$23,12,0),0),0)</f>
        <v>0</v>
      </c>
      <c r="R84" s="575">
        <f>IFERROR(IF(VLOOKUP(R$2,MODULY_CBA!$B$3:$N$23,13,0)&lt;='TCO TO BE- SW'!$D84,SUM('TCO TO BE- SW'!R$6:R$15)*VLOOKUP('TCO TO BE- SW'!R$2,MODULY_CBA!$B$3:$M$23,12,0),0),0)</f>
        <v>0</v>
      </c>
      <c r="S84" s="575">
        <f>IFERROR(IF(VLOOKUP(S$2,MODULY_CBA!$B$3:$N$23,13,0)&lt;='TCO TO BE- SW'!$D84,SUM('TCO TO BE- SW'!S$6:S$15)*VLOOKUP('TCO TO BE- SW'!S$2,MODULY_CBA!$B$3:$M$23,12,0),0),0)</f>
        <v>0</v>
      </c>
      <c r="T84" s="575">
        <f>IFERROR(IF(VLOOKUP(T$2,MODULY_CBA!$B$3:$N$23,13,0)&lt;='TCO TO BE- SW'!$D84,SUM('TCO TO BE- SW'!T$6:T$15)*VLOOKUP('TCO TO BE- SW'!T$2,MODULY_CBA!$B$3:$M$23,12,0),0),0)</f>
        <v>0</v>
      </c>
      <c r="U84" s="575">
        <f>IFERROR(IF(VLOOKUP(U$2,MODULY_CBA!$B$3:$N$23,13,0)&lt;='TCO TO BE- SW'!$D84,SUM('TCO TO BE- SW'!U$6:U$15)*VLOOKUP('TCO TO BE- SW'!U$2,MODULY_CBA!$B$3:$M$23,12,0),0),0)</f>
        <v>0</v>
      </c>
      <c r="V84" s="575">
        <f>IFERROR(IF(VLOOKUP(V$2,MODULY_CBA!$B$3:$N$23,13,0)&lt;='TCO TO BE- SW'!$D84,SUM('TCO TO BE- SW'!V$6:V$15)*VLOOKUP('TCO TO BE- SW'!V$2,MODULY_CBA!$B$3:$M$23,12,0),0),0)</f>
        <v>0</v>
      </c>
      <c r="W84" s="575">
        <f>IFERROR(IF(VLOOKUP(W$2,MODULY_CBA!$B$3:$N$23,13,0)&lt;='TCO TO BE- SW'!$D84,SUM('TCO TO BE- SW'!W$6:W$15)*VLOOKUP('TCO TO BE- SW'!W$2,MODULY_CBA!$B$3:$M$23,12,0),0),0)</f>
        <v>0</v>
      </c>
      <c r="X84" s="575">
        <f>IFERROR(IF(VLOOKUP(X$2,MODULY_CBA!$B$3:$N$23,13,0)&lt;='TCO TO BE- SW'!$D84,SUM('TCO TO BE- SW'!X$6:X$15)*VLOOKUP('TCO TO BE- SW'!X$2,MODULY_CBA!$B$3:$M$23,12,0),0),0)</f>
        <v>0</v>
      </c>
      <c r="Y84" s="575">
        <f>IFERROR(IF(VLOOKUP(Y$2,MODULY_CBA!$B$3:$N$23,13,0)&lt;='TCO TO BE- SW'!$D84,SUM('TCO TO BE- SW'!Y$6:Y$15)*VLOOKUP('TCO TO BE- SW'!Y$2,MODULY_CBA!$B$3:$M$23,12,0),0),0)</f>
        <v>0</v>
      </c>
      <c r="Z84" s="575">
        <f>IFERROR(IF(VLOOKUP(Z$2,MODULY_CBA!$B$3:$N$23,13,0)&lt;='TCO TO BE- SW'!$D84,SUM('TCO TO BE- SW'!Z$6:Z$15)*VLOOKUP('TCO TO BE- SW'!Z$2,MODULY_CBA!$B$3:$M$23,12,0),0),0)</f>
        <v>0</v>
      </c>
    </row>
    <row r="85" spans="1:26" outlineLevel="2">
      <c r="A85" s="807"/>
      <c r="B85" s="808"/>
      <c r="C85" s="808"/>
      <c r="D85" s="64">
        <v>7</v>
      </c>
      <c r="E85" s="61">
        <f t="shared" si="12"/>
        <v>352000</v>
      </c>
      <c r="F85" s="575">
        <f>IFERROR(IF(VLOOKUP(F$2,MODULY_CBA!$B$3:$N$23,13,0)&lt;='TCO TO BE- SW'!$D85,SUM('TCO TO BE- SW'!F$6:F$15)*VLOOKUP('TCO TO BE- SW'!F$2,MODULY_CBA!$B$3:$M$23,12,0),0),0)</f>
        <v>352000</v>
      </c>
      <c r="G85" s="575">
        <f>IFERROR(IF(VLOOKUP(G$2,MODULY_CBA!$B$3:$N$23,13,0)&lt;='TCO TO BE- SW'!$D85,SUM('TCO TO BE- SW'!G$6:G$15)*VLOOKUP('TCO TO BE- SW'!G$2,MODULY_CBA!$B$3:$M$23,12,0),0),0)</f>
        <v>0</v>
      </c>
      <c r="H85" s="575">
        <f>IFERROR(IF(VLOOKUP(H$2,MODULY_CBA!$B$3:$N$23,13,0)&lt;='TCO TO BE- SW'!$D85,SUM('TCO TO BE- SW'!H$6:H$15)*VLOOKUP('TCO TO BE- SW'!H$2,MODULY_CBA!$B$3:$M$23,12,0),0),0)</f>
        <v>0</v>
      </c>
      <c r="I85" s="575">
        <f>IFERROR(IF(VLOOKUP(I$2,MODULY_CBA!$B$3:$N$23,13,0)&lt;='TCO TO BE- SW'!$D85,SUM('TCO TO BE- SW'!I$6:I$15)*VLOOKUP('TCO TO BE- SW'!I$2,MODULY_CBA!$B$3:$M$23,12,0),0),0)</f>
        <v>0</v>
      </c>
      <c r="J85" s="575">
        <f>IFERROR(IF(VLOOKUP(J$2,MODULY_CBA!$B$3:$N$23,13,0)&lt;='TCO TO BE- SW'!$D85,SUM('TCO TO BE- SW'!J$6:J$15)*VLOOKUP('TCO TO BE- SW'!J$2,MODULY_CBA!$B$3:$M$23,12,0),0),0)</f>
        <v>0</v>
      </c>
      <c r="K85" s="575">
        <f>IFERROR(IF(VLOOKUP(K$2,MODULY_CBA!$B$3:$N$23,13,0)&lt;='TCO TO BE- SW'!$D85,SUM('TCO TO BE- SW'!K$6:K$15)*VLOOKUP('TCO TO BE- SW'!K$2,MODULY_CBA!$B$3:$M$23,12,0),0),0)</f>
        <v>0</v>
      </c>
      <c r="L85" s="575">
        <f>IFERROR(IF(VLOOKUP(L$2,MODULY_CBA!$B$3:$N$23,13,0)&lt;='TCO TO BE- SW'!$D85,SUM('TCO TO BE- SW'!L$6:L$15)*VLOOKUP('TCO TO BE- SW'!L$2,MODULY_CBA!$B$3:$M$23,12,0),0),0)</f>
        <v>0</v>
      </c>
      <c r="M85" s="575">
        <f>IFERROR(IF(VLOOKUP(M$2,MODULY_CBA!$B$3:$N$23,13,0)&lt;='TCO TO BE- SW'!$D85,SUM('TCO TO BE- SW'!M$6:M$15)*VLOOKUP('TCO TO BE- SW'!M$2,MODULY_CBA!$B$3:$M$23,12,0),0),0)</f>
        <v>0</v>
      </c>
      <c r="N85" s="575">
        <f>IFERROR(IF(VLOOKUP(N$2,MODULY_CBA!$B$3:$N$23,13,0)&lt;='TCO TO BE- SW'!$D85,SUM('TCO TO BE- SW'!N$6:N$15)*VLOOKUP('TCO TO BE- SW'!N$2,MODULY_CBA!$B$3:$M$23,12,0),0),0)</f>
        <v>0</v>
      </c>
      <c r="O85" s="575">
        <f>IFERROR(IF(VLOOKUP(O$2,MODULY_CBA!$B$3:$N$23,13,0)&lt;='TCO TO BE- SW'!$D85,SUM('TCO TO BE- SW'!O$6:O$15)*VLOOKUP('TCO TO BE- SW'!O$2,MODULY_CBA!$B$3:$M$23,12,0),0),0)</f>
        <v>0</v>
      </c>
      <c r="P85" s="575">
        <f>IFERROR(IF(VLOOKUP(P$2,MODULY_CBA!$B$3:$N$23,13,0)&lt;='TCO TO BE- SW'!$D85,SUM('TCO TO BE- SW'!P$6:P$15)*VLOOKUP('TCO TO BE- SW'!P$2,MODULY_CBA!$B$3:$M$23,12,0),0),0)</f>
        <v>0</v>
      </c>
      <c r="Q85" s="575">
        <f>IFERROR(IF(VLOOKUP(Q$2,MODULY_CBA!$B$3:$N$23,13,0)&lt;='TCO TO BE- SW'!$D85,SUM('TCO TO BE- SW'!Q$6:Q$15)*VLOOKUP('TCO TO BE- SW'!Q$2,MODULY_CBA!$B$3:$M$23,12,0),0),0)</f>
        <v>0</v>
      </c>
      <c r="R85" s="575">
        <f>IFERROR(IF(VLOOKUP(R$2,MODULY_CBA!$B$3:$N$23,13,0)&lt;='TCO TO BE- SW'!$D85,SUM('TCO TO BE- SW'!R$6:R$15)*VLOOKUP('TCO TO BE- SW'!R$2,MODULY_CBA!$B$3:$M$23,12,0),0),0)</f>
        <v>0</v>
      </c>
      <c r="S85" s="575">
        <f>IFERROR(IF(VLOOKUP(S$2,MODULY_CBA!$B$3:$N$23,13,0)&lt;='TCO TO BE- SW'!$D85,SUM('TCO TO BE- SW'!S$6:S$15)*VLOOKUP('TCO TO BE- SW'!S$2,MODULY_CBA!$B$3:$M$23,12,0),0),0)</f>
        <v>0</v>
      </c>
      <c r="T85" s="575">
        <f>IFERROR(IF(VLOOKUP(T$2,MODULY_CBA!$B$3:$N$23,13,0)&lt;='TCO TO BE- SW'!$D85,SUM('TCO TO BE- SW'!T$6:T$15)*VLOOKUP('TCO TO BE- SW'!T$2,MODULY_CBA!$B$3:$M$23,12,0),0),0)</f>
        <v>0</v>
      </c>
      <c r="U85" s="575">
        <f>IFERROR(IF(VLOOKUP(U$2,MODULY_CBA!$B$3:$N$23,13,0)&lt;='TCO TO BE- SW'!$D85,SUM('TCO TO BE- SW'!U$6:U$15)*VLOOKUP('TCO TO BE- SW'!U$2,MODULY_CBA!$B$3:$M$23,12,0),0),0)</f>
        <v>0</v>
      </c>
      <c r="V85" s="575">
        <f>IFERROR(IF(VLOOKUP(V$2,MODULY_CBA!$B$3:$N$23,13,0)&lt;='TCO TO BE- SW'!$D85,SUM('TCO TO BE- SW'!V$6:V$15)*VLOOKUP('TCO TO BE- SW'!V$2,MODULY_CBA!$B$3:$M$23,12,0),0),0)</f>
        <v>0</v>
      </c>
      <c r="W85" s="575">
        <f>IFERROR(IF(VLOOKUP(W$2,MODULY_CBA!$B$3:$N$23,13,0)&lt;='TCO TO BE- SW'!$D85,SUM('TCO TO BE- SW'!W$6:W$15)*VLOOKUP('TCO TO BE- SW'!W$2,MODULY_CBA!$B$3:$M$23,12,0),0),0)</f>
        <v>0</v>
      </c>
      <c r="X85" s="575">
        <f>IFERROR(IF(VLOOKUP(X$2,MODULY_CBA!$B$3:$N$23,13,0)&lt;='TCO TO BE- SW'!$D85,SUM('TCO TO BE- SW'!X$6:X$15)*VLOOKUP('TCO TO BE- SW'!X$2,MODULY_CBA!$B$3:$M$23,12,0),0),0)</f>
        <v>0</v>
      </c>
      <c r="Y85" s="575">
        <f>IFERROR(IF(VLOOKUP(Y$2,MODULY_CBA!$B$3:$N$23,13,0)&lt;='TCO TO BE- SW'!$D85,SUM('TCO TO BE- SW'!Y$6:Y$15)*VLOOKUP('TCO TO BE- SW'!Y$2,MODULY_CBA!$B$3:$M$23,12,0),0),0)</f>
        <v>0</v>
      </c>
      <c r="Z85" s="575">
        <f>IFERROR(IF(VLOOKUP(Z$2,MODULY_CBA!$B$3:$N$23,13,0)&lt;='TCO TO BE- SW'!$D85,SUM('TCO TO BE- SW'!Z$6:Z$15)*VLOOKUP('TCO TO BE- SW'!Z$2,MODULY_CBA!$B$3:$M$23,12,0),0),0)</f>
        <v>0</v>
      </c>
    </row>
    <row r="86" spans="1:26" outlineLevel="2">
      <c r="A86" s="807"/>
      <c r="B86" s="808"/>
      <c r="C86" s="808"/>
      <c r="D86" s="64">
        <v>8</v>
      </c>
      <c r="E86" s="61">
        <f t="shared" si="12"/>
        <v>352000</v>
      </c>
      <c r="F86" s="575">
        <f>IFERROR(IF(VLOOKUP(F$2,MODULY_CBA!$B$3:$N$23,13,0)&lt;='TCO TO BE- SW'!$D86,SUM('TCO TO BE- SW'!F$6:F$15)*VLOOKUP('TCO TO BE- SW'!F$2,MODULY_CBA!$B$3:$M$23,12,0),0),0)</f>
        <v>352000</v>
      </c>
      <c r="G86" s="575">
        <f>IFERROR(IF(VLOOKUP(G$2,MODULY_CBA!$B$3:$N$23,13,0)&lt;='TCO TO BE- SW'!$D86,SUM('TCO TO BE- SW'!G$6:G$15)*VLOOKUP('TCO TO BE- SW'!G$2,MODULY_CBA!$B$3:$M$23,12,0),0),0)</f>
        <v>0</v>
      </c>
      <c r="H86" s="575">
        <f>IFERROR(IF(VLOOKUP(H$2,MODULY_CBA!$B$3:$N$23,13,0)&lt;='TCO TO BE- SW'!$D86,SUM('TCO TO BE- SW'!H$6:H$15)*VLOOKUP('TCO TO BE- SW'!H$2,MODULY_CBA!$B$3:$M$23,12,0),0),0)</f>
        <v>0</v>
      </c>
      <c r="I86" s="575">
        <f>IFERROR(IF(VLOOKUP(I$2,MODULY_CBA!$B$3:$N$23,13,0)&lt;='TCO TO BE- SW'!$D86,SUM('TCO TO BE- SW'!I$6:I$15)*VLOOKUP('TCO TO BE- SW'!I$2,MODULY_CBA!$B$3:$M$23,12,0),0),0)</f>
        <v>0</v>
      </c>
      <c r="J86" s="575">
        <f>IFERROR(IF(VLOOKUP(J$2,MODULY_CBA!$B$3:$N$23,13,0)&lt;='TCO TO BE- SW'!$D86,SUM('TCO TO BE- SW'!J$6:J$15)*VLOOKUP('TCO TO BE- SW'!J$2,MODULY_CBA!$B$3:$M$23,12,0),0),0)</f>
        <v>0</v>
      </c>
      <c r="K86" s="575">
        <f>IFERROR(IF(VLOOKUP(K$2,MODULY_CBA!$B$3:$N$23,13,0)&lt;='TCO TO BE- SW'!$D86,SUM('TCO TO BE- SW'!K$6:K$15)*VLOOKUP('TCO TO BE- SW'!K$2,MODULY_CBA!$B$3:$M$23,12,0),0),0)</f>
        <v>0</v>
      </c>
      <c r="L86" s="575">
        <f>IFERROR(IF(VLOOKUP(L$2,MODULY_CBA!$B$3:$N$23,13,0)&lt;='TCO TO BE- SW'!$D86,SUM('TCO TO BE- SW'!L$6:L$15)*VLOOKUP('TCO TO BE- SW'!L$2,MODULY_CBA!$B$3:$M$23,12,0),0),0)</f>
        <v>0</v>
      </c>
      <c r="M86" s="575">
        <f>IFERROR(IF(VLOOKUP(M$2,MODULY_CBA!$B$3:$N$23,13,0)&lt;='TCO TO BE- SW'!$D86,SUM('TCO TO BE- SW'!M$6:M$15)*VLOOKUP('TCO TO BE- SW'!M$2,MODULY_CBA!$B$3:$M$23,12,0),0),0)</f>
        <v>0</v>
      </c>
      <c r="N86" s="575">
        <f>IFERROR(IF(VLOOKUP(N$2,MODULY_CBA!$B$3:$N$23,13,0)&lt;='TCO TO BE- SW'!$D86,SUM('TCO TO BE- SW'!N$6:N$15)*VLOOKUP('TCO TO BE- SW'!N$2,MODULY_CBA!$B$3:$M$23,12,0),0),0)</f>
        <v>0</v>
      </c>
      <c r="O86" s="575">
        <f>IFERROR(IF(VLOOKUP(O$2,MODULY_CBA!$B$3:$N$23,13,0)&lt;='TCO TO BE- SW'!$D86,SUM('TCO TO BE- SW'!O$6:O$15)*VLOOKUP('TCO TO BE- SW'!O$2,MODULY_CBA!$B$3:$M$23,12,0),0),0)</f>
        <v>0</v>
      </c>
      <c r="P86" s="575">
        <f>IFERROR(IF(VLOOKUP(P$2,MODULY_CBA!$B$3:$N$23,13,0)&lt;='TCO TO BE- SW'!$D86,SUM('TCO TO BE- SW'!P$6:P$15)*VLOOKUP('TCO TO BE- SW'!P$2,MODULY_CBA!$B$3:$M$23,12,0),0),0)</f>
        <v>0</v>
      </c>
      <c r="Q86" s="575">
        <f>IFERROR(IF(VLOOKUP(Q$2,MODULY_CBA!$B$3:$N$23,13,0)&lt;='TCO TO BE- SW'!$D86,SUM('TCO TO BE- SW'!Q$6:Q$15)*VLOOKUP('TCO TO BE- SW'!Q$2,MODULY_CBA!$B$3:$M$23,12,0),0),0)</f>
        <v>0</v>
      </c>
      <c r="R86" s="575">
        <f>IFERROR(IF(VLOOKUP(R$2,MODULY_CBA!$B$3:$N$23,13,0)&lt;='TCO TO BE- SW'!$D86,SUM('TCO TO BE- SW'!R$6:R$15)*VLOOKUP('TCO TO BE- SW'!R$2,MODULY_CBA!$B$3:$M$23,12,0),0),0)</f>
        <v>0</v>
      </c>
      <c r="S86" s="575">
        <f>IFERROR(IF(VLOOKUP(S$2,MODULY_CBA!$B$3:$N$23,13,0)&lt;='TCO TO BE- SW'!$D86,SUM('TCO TO BE- SW'!S$6:S$15)*VLOOKUP('TCO TO BE- SW'!S$2,MODULY_CBA!$B$3:$M$23,12,0),0),0)</f>
        <v>0</v>
      </c>
      <c r="T86" s="575">
        <f>IFERROR(IF(VLOOKUP(T$2,MODULY_CBA!$B$3:$N$23,13,0)&lt;='TCO TO BE- SW'!$D86,SUM('TCO TO BE- SW'!T$6:T$15)*VLOOKUP('TCO TO BE- SW'!T$2,MODULY_CBA!$B$3:$M$23,12,0),0),0)</f>
        <v>0</v>
      </c>
      <c r="U86" s="575">
        <f>IFERROR(IF(VLOOKUP(U$2,MODULY_CBA!$B$3:$N$23,13,0)&lt;='TCO TO BE- SW'!$D86,SUM('TCO TO BE- SW'!U$6:U$15)*VLOOKUP('TCO TO BE- SW'!U$2,MODULY_CBA!$B$3:$M$23,12,0),0),0)</f>
        <v>0</v>
      </c>
      <c r="V86" s="575">
        <f>IFERROR(IF(VLOOKUP(V$2,MODULY_CBA!$B$3:$N$23,13,0)&lt;='TCO TO BE- SW'!$D86,SUM('TCO TO BE- SW'!V$6:V$15)*VLOOKUP('TCO TO BE- SW'!V$2,MODULY_CBA!$B$3:$M$23,12,0),0),0)</f>
        <v>0</v>
      </c>
      <c r="W86" s="575">
        <f>IFERROR(IF(VLOOKUP(W$2,MODULY_CBA!$B$3:$N$23,13,0)&lt;='TCO TO BE- SW'!$D86,SUM('TCO TO BE- SW'!W$6:W$15)*VLOOKUP('TCO TO BE- SW'!W$2,MODULY_CBA!$B$3:$M$23,12,0),0),0)</f>
        <v>0</v>
      </c>
      <c r="X86" s="575">
        <f>IFERROR(IF(VLOOKUP(X$2,MODULY_CBA!$B$3:$N$23,13,0)&lt;='TCO TO BE- SW'!$D86,SUM('TCO TO BE- SW'!X$6:X$15)*VLOOKUP('TCO TO BE- SW'!X$2,MODULY_CBA!$B$3:$M$23,12,0),0),0)</f>
        <v>0</v>
      </c>
      <c r="Y86" s="575">
        <f>IFERROR(IF(VLOOKUP(Y$2,MODULY_CBA!$B$3:$N$23,13,0)&lt;='TCO TO BE- SW'!$D86,SUM('TCO TO BE- SW'!Y$6:Y$15)*VLOOKUP('TCO TO BE- SW'!Y$2,MODULY_CBA!$B$3:$M$23,12,0),0),0)</f>
        <v>0</v>
      </c>
      <c r="Z86" s="575">
        <f>IFERROR(IF(VLOOKUP(Z$2,MODULY_CBA!$B$3:$N$23,13,0)&lt;='TCO TO BE- SW'!$D86,SUM('TCO TO BE- SW'!Z$6:Z$15)*VLOOKUP('TCO TO BE- SW'!Z$2,MODULY_CBA!$B$3:$M$23,12,0),0),0)</f>
        <v>0</v>
      </c>
    </row>
    <row r="87" spans="1:26" outlineLevel="2">
      <c r="A87" s="807"/>
      <c r="B87" s="808"/>
      <c r="C87" s="808"/>
      <c r="D87" s="64">
        <v>9</v>
      </c>
      <c r="E87" s="61">
        <f t="shared" si="12"/>
        <v>352000</v>
      </c>
      <c r="F87" s="575">
        <f>IFERROR(IF(VLOOKUP(F$2,MODULY_CBA!$B$3:$N$23,13,0)&lt;='TCO TO BE- SW'!$D87,SUM('TCO TO BE- SW'!F$6:F$15)*VLOOKUP('TCO TO BE- SW'!F$2,MODULY_CBA!$B$3:$M$23,12,0),0),0)</f>
        <v>352000</v>
      </c>
      <c r="G87" s="575">
        <f>IFERROR(IF(VLOOKUP(G$2,MODULY_CBA!$B$3:$N$23,13,0)&lt;='TCO TO BE- SW'!$D87,SUM('TCO TO BE- SW'!G$6:G$15)*VLOOKUP('TCO TO BE- SW'!G$2,MODULY_CBA!$B$3:$M$23,12,0),0),0)</f>
        <v>0</v>
      </c>
      <c r="H87" s="575">
        <f>IFERROR(IF(VLOOKUP(H$2,MODULY_CBA!$B$3:$N$23,13,0)&lt;='TCO TO BE- SW'!$D87,SUM('TCO TO BE- SW'!H$6:H$15)*VLOOKUP('TCO TO BE- SW'!H$2,MODULY_CBA!$B$3:$M$23,12,0),0),0)</f>
        <v>0</v>
      </c>
      <c r="I87" s="575">
        <f>IFERROR(IF(VLOOKUP(I$2,MODULY_CBA!$B$3:$N$23,13,0)&lt;='TCO TO BE- SW'!$D87,SUM('TCO TO BE- SW'!I$6:I$15)*VLOOKUP('TCO TO BE- SW'!I$2,MODULY_CBA!$B$3:$M$23,12,0),0),0)</f>
        <v>0</v>
      </c>
      <c r="J87" s="575">
        <f>IFERROR(IF(VLOOKUP(J$2,MODULY_CBA!$B$3:$N$23,13,0)&lt;='TCO TO BE- SW'!$D87,SUM('TCO TO BE- SW'!J$6:J$15)*VLOOKUP('TCO TO BE- SW'!J$2,MODULY_CBA!$B$3:$M$23,12,0),0),0)</f>
        <v>0</v>
      </c>
      <c r="K87" s="575">
        <f>IFERROR(IF(VLOOKUP(K$2,MODULY_CBA!$B$3:$N$23,13,0)&lt;='TCO TO BE- SW'!$D87,SUM('TCO TO BE- SW'!K$6:K$15)*VLOOKUP('TCO TO BE- SW'!K$2,MODULY_CBA!$B$3:$M$23,12,0),0),0)</f>
        <v>0</v>
      </c>
      <c r="L87" s="575">
        <f>IFERROR(IF(VLOOKUP(L$2,MODULY_CBA!$B$3:$N$23,13,0)&lt;='TCO TO BE- SW'!$D87,SUM('TCO TO BE- SW'!L$6:L$15)*VLOOKUP('TCO TO BE- SW'!L$2,MODULY_CBA!$B$3:$M$23,12,0),0),0)</f>
        <v>0</v>
      </c>
      <c r="M87" s="575">
        <f>IFERROR(IF(VLOOKUP(M$2,MODULY_CBA!$B$3:$N$23,13,0)&lt;='TCO TO BE- SW'!$D87,SUM('TCO TO BE- SW'!M$6:M$15)*VLOOKUP('TCO TO BE- SW'!M$2,MODULY_CBA!$B$3:$M$23,12,0),0),0)</f>
        <v>0</v>
      </c>
      <c r="N87" s="575">
        <f>IFERROR(IF(VLOOKUP(N$2,MODULY_CBA!$B$3:$N$23,13,0)&lt;='TCO TO BE- SW'!$D87,SUM('TCO TO BE- SW'!N$6:N$15)*VLOOKUP('TCO TO BE- SW'!N$2,MODULY_CBA!$B$3:$M$23,12,0),0),0)</f>
        <v>0</v>
      </c>
      <c r="O87" s="575">
        <f>IFERROR(IF(VLOOKUP(O$2,MODULY_CBA!$B$3:$N$23,13,0)&lt;='TCO TO BE- SW'!$D87,SUM('TCO TO BE- SW'!O$6:O$15)*VLOOKUP('TCO TO BE- SW'!O$2,MODULY_CBA!$B$3:$M$23,12,0),0),0)</f>
        <v>0</v>
      </c>
      <c r="P87" s="575">
        <f>IFERROR(IF(VLOOKUP(P$2,MODULY_CBA!$B$3:$N$23,13,0)&lt;='TCO TO BE- SW'!$D87,SUM('TCO TO BE- SW'!P$6:P$15)*VLOOKUP('TCO TO BE- SW'!P$2,MODULY_CBA!$B$3:$M$23,12,0),0),0)</f>
        <v>0</v>
      </c>
      <c r="Q87" s="575">
        <f>IFERROR(IF(VLOOKUP(Q$2,MODULY_CBA!$B$3:$N$23,13,0)&lt;='TCO TO BE- SW'!$D87,SUM('TCO TO BE- SW'!Q$6:Q$15)*VLOOKUP('TCO TO BE- SW'!Q$2,MODULY_CBA!$B$3:$M$23,12,0),0),0)</f>
        <v>0</v>
      </c>
      <c r="R87" s="575">
        <f>IFERROR(IF(VLOOKUP(R$2,MODULY_CBA!$B$3:$N$23,13,0)&lt;='TCO TO BE- SW'!$D87,SUM('TCO TO BE- SW'!R$6:R$15)*VLOOKUP('TCO TO BE- SW'!R$2,MODULY_CBA!$B$3:$M$23,12,0),0),0)</f>
        <v>0</v>
      </c>
      <c r="S87" s="575">
        <f>IFERROR(IF(VLOOKUP(S$2,MODULY_CBA!$B$3:$N$23,13,0)&lt;='TCO TO BE- SW'!$D87,SUM('TCO TO BE- SW'!S$6:S$15)*VLOOKUP('TCO TO BE- SW'!S$2,MODULY_CBA!$B$3:$M$23,12,0),0),0)</f>
        <v>0</v>
      </c>
      <c r="T87" s="575">
        <f>IFERROR(IF(VLOOKUP(T$2,MODULY_CBA!$B$3:$N$23,13,0)&lt;='TCO TO BE- SW'!$D87,SUM('TCO TO BE- SW'!T$6:T$15)*VLOOKUP('TCO TO BE- SW'!T$2,MODULY_CBA!$B$3:$M$23,12,0),0),0)</f>
        <v>0</v>
      </c>
      <c r="U87" s="575">
        <f>IFERROR(IF(VLOOKUP(U$2,MODULY_CBA!$B$3:$N$23,13,0)&lt;='TCO TO BE- SW'!$D87,SUM('TCO TO BE- SW'!U$6:U$15)*VLOOKUP('TCO TO BE- SW'!U$2,MODULY_CBA!$B$3:$M$23,12,0),0),0)</f>
        <v>0</v>
      </c>
      <c r="V87" s="575">
        <f>IFERROR(IF(VLOOKUP(V$2,MODULY_CBA!$B$3:$N$23,13,0)&lt;='TCO TO BE- SW'!$D87,SUM('TCO TO BE- SW'!V$6:V$15)*VLOOKUP('TCO TO BE- SW'!V$2,MODULY_CBA!$B$3:$M$23,12,0),0),0)</f>
        <v>0</v>
      </c>
      <c r="W87" s="575">
        <f>IFERROR(IF(VLOOKUP(W$2,MODULY_CBA!$B$3:$N$23,13,0)&lt;='TCO TO BE- SW'!$D87,SUM('TCO TO BE- SW'!W$6:W$15)*VLOOKUP('TCO TO BE- SW'!W$2,MODULY_CBA!$B$3:$M$23,12,0),0),0)</f>
        <v>0</v>
      </c>
      <c r="X87" s="575">
        <f>IFERROR(IF(VLOOKUP(X$2,MODULY_CBA!$B$3:$N$23,13,0)&lt;='TCO TO BE- SW'!$D87,SUM('TCO TO BE- SW'!X$6:X$15)*VLOOKUP('TCO TO BE- SW'!X$2,MODULY_CBA!$B$3:$M$23,12,0),0),0)</f>
        <v>0</v>
      </c>
      <c r="Y87" s="575">
        <f>IFERROR(IF(VLOOKUP(Y$2,MODULY_CBA!$B$3:$N$23,13,0)&lt;='TCO TO BE- SW'!$D87,SUM('TCO TO BE- SW'!Y$6:Y$15)*VLOOKUP('TCO TO BE- SW'!Y$2,MODULY_CBA!$B$3:$M$23,12,0),0),0)</f>
        <v>0</v>
      </c>
      <c r="Z87" s="575">
        <f>IFERROR(IF(VLOOKUP(Z$2,MODULY_CBA!$B$3:$N$23,13,0)&lt;='TCO TO BE- SW'!$D87,SUM('TCO TO BE- SW'!Z$6:Z$15)*VLOOKUP('TCO TO BE- SW'!Z$2,MODULY_CBA!$B$3:$M$23,12,0),0),0)</f>
        <v>0</v>
      </c>
    </row>
    <row r="88" spans="1:26" ht="15.75" outlineLevel="2" thickBot="1">
      <c r="A88" s="807"/>
      <c r="B88" s="808"/>
      <c r="C88" s="808"/>
      <c r="D88" s="65">
        <v>10</v>
      </c>
      <c r="E88" s="62">
        <f t="shared" si="12"/>
        <v>352000</v>
      </c>
      <c r="F88" s="575">
        <f>IFERROR(IF(VLOOKUP(F$2,MODULY_CBA!$B$3:$N$23,13,0)&lt;='TCO TO BE- SW'!$D88,SUM('TCO TO BE- SW'!F$6:F$15)*VLOOKUP('TCO TO BE- SW'!F$2,MODULY_CBA!$B$3:$M$23,12,0),0),0)</f>
        <v>352000</v>
      </c>
      <c r="G88" s="575">
        <f>IFERROR(IF(VLOOKUP(G$2,MODULY_CBA!$B$3:$N$23,13,0)&lt;='TCO TO BE- SW'!$D88,SUM('TCO TO BE- SW'!G$6:G$15)*VLOOKUP('TCO TO BE- SW'!G$2,MODULY_CBA!$B$3:$M$23,12,0),0),0)</f>
        <v>0</v>
      </c>
      <c r="H88" s="575">
        <f>IFERROR(IF(VLOOKUP(H$2,MODULY_CBA!$B$3:$N$23,13,0)&lt;='TCO TO BE- SW'!$D88,SUM('TCO TO BE- SW'!H$6:H$15)*VLOOKUP('TCO TO BE- SW'!H$2,MODULY_CBA!$B$3:$M$23,12,0),0),0)</f>
        <v>0</v>
      </c>
      <c r="I88" s="575">
        <f>IFERROR(IF(VLOOKUP(I$2,MODULY_CBA!$B$3:$N$23,13,0)&lt;='TCO TO BE- SW'!$D88,SUM('TCO TO BE- SW'!I$6:I$15)*VLOOKUP('TCO TO BE- SW'!I$2,MODULY_CBA!$B$3:$M$23,12,0),0),0)</f>
        <v>0</v>
      </c>
      <c r="J88" s="575">
        <f>IFERROR(IF(VLOOKUP(J$2,MODULY_CBA!$B$3:$N$23,13,0)&lt;='TCO TO BE- SW'!$D88,SUM('TCO TO BE- SW'!J$6:J$15)*VLOOKUP('TCO TO BE- SW'!J$2,MODULY_CBA!$B$3:$M$23,12,0),0),0)</f>
        <v>0</v>
      </c>
      <c r="K88" s="575">
        <f>IFERROR(IF(VLOOKUP(K$2,MODULY_CBA!$B$3:$N$23,13,0)&lt;='TCO TO BE- SW'!$D88,SUM('TCO TO BE- SW'!K$6:K$15)*VLOOKUP('TCO TO BE- SW'!K$2,MODULY_CBA!$B$3:$M$23,12,0),0),0)</f>
        <v>0</v>
      </c>
      <c r="L88" s="575">
        <f>IFERROR(IF(VLOOKUP(L$2,MODULY_CBA!$B$3:$N$23,13,0)&lt;='TCO TO BE- SW'!$D88,SUM('TCO TO BE- SW'!L$6:L$15)*VLOOKUP('TCO TO BE- SW'!L$2,MODULY_CBA!$B$3:$M$23,12,0),0),0)</f>
        <v>0</v>
      </c>
      <c r="M88" s="575">
        <f>IFERROR(IF(VLOOKUP(M$2,MODULY_CBA!$B$3:$N$23,13,0)&lt;='TCO TO BE- SW'!$D88,SUM('TCO TO BE- SW'!M$6:M$15)*VLOOKUP('TCO TO BE- SW'!M$2,MODULY_CBA!$B$3:$M$23,12,0),0),0)</f>
        <v>0</v>
      </c>
      <c r="N88" s="575">
        <f>IFERROR(IF(VLOOKUP(N$2,MODULY_CBA!$B$3:$N$23,13,0)&lt;='TCO TO BE- SW'!$D88,SUM('TCO TO BE- SW'!N$6:N$15)*VLOOKUP('TCO TO BE- SW'!N$2,MODULY_CBA!$B$3:$M$23,12,0),0),0)</f>
        <v>0</v>
      </c>
      <c r="O88" s="575">
        <f>IFERROR(IF(VLOOKUP(O$2,MODULY_CBA!$B$3:$N$23,13,0)&lt;='TCO TO BE- SW'!$D88,SUM('TCO TO BE- SW'!O$6:O$15)*VLOOKUP('TCO TO BE- SW'!O$2,MODULY_CBA!$B$3:$M$23,12,0),0),0)</f>
        <v>0</v>
      </c>
      <c r="P88" s="575">
        <f>IFERROR(IF(VLOOKUP(P$2,MODULY_CBA!$B$3:$N$23,13,0)&lt;='TCO TO BE- SW'!$D88,SUM('TCO TO BE- SW'!P$6:P$15)*VLOOKUP('TCO TO BE- SW'!P$2,MODULY_CBA!$B$3:$M$23,12,0),0),0)</f>
        <v>0</v>
      </c>
      <c r="Q88" s="575">
        <f>IFERROR(IF(VLOOKUP(Q$2,MODULY_CBA!$B$3:$N$23,13,0)&lt;='TCO TO BE- SW'!$D88,SUM('TCO TO BE- SW'!Q$6:Q$15)*VLOOKUP('TCO TO BE- SW'!Q$2,MODULY_CBA!$B$3:$M$23,12,0),0),0)</f>
        <v>0</v>
      </c>
      <c r="R88" s="575">
        <f>IFERROR(IF(VLOOKUP(R$2,MODULY_CBA!$B$3:$N$23,13,0)&lt;='TCO TO BE- SW'!$D88,SUM('TCO TO BE- SW'!R$6:R$15)*VLOOKUP('TCO TO BE- SW'!R$2,MODULY_CBA!$B$3:$M$23,12,0),0),0)</f>
        <v>0</v>
      </c>
      <c r="S88" s="575">
        <f>IFERROR(IF(VLOOKUP(S$2,MODULY_CBA!$B$3:$N$23,13,0)&lt;='TCO TO BE- SW'!$D88,SUM('TCO TO BE- SW'!S$6:S$15)*VLOOKUP('TCO TO BE- SW'!S$2,MODULY_CBA!$B$3:$M$23,12,0),0),0)</f>
        <v>0</v>
      </c>
      <c r="T88" s="575">
        <f>IFERROR(IF(VLOOKUP(T$2,MODULY_CBA!$B$3:$N$23,13,0)&lt;='TCO TO BE- SW'!$D88,SUM('TCO TO BE- SW'!T$6:T$15)*VLOOKUP('TCO TO BE- SW'!T$2,MODULY_CBA!$B$3:$M$23,12,0),0),0)</f>
        <v>0</v>
      </c>
      <c r="U88" s="575">
        <f>IFERROR(IF(VLOOKUP(U$2,MODULY_CBA!$B$3:$N$23,13,0)&lt;='TCO TO BE- SW'!$D88,SUM('TCO TO BE- SW'!U$6:U$15)*VLOOKUP('TCO TO BE- SW'!U$2,MODULY_CBA!$B$3:$M$23,12,0),0),0)</f>
        <v>0</v>
      </c>
      <c r="V88" s="575">
        <f>IFERROR(IF(VLOOKUP(V$2,MODULY_CBA!$B$3:$N$23,13,0)&lt;='TCO TO BE- SW'!$D88,SUM('TCO TO BE- SW'!V$6:V$15)*VLOOKUP('TCO TO BE- SW'!V$2,MODULY_CBA!$B$3:$M$23,12,0),0),0)</f>
        <v>0</v>
      </c>
      <c r="W88" s="575">
        <f>IFERROR(IF(VLOOKUP(W$2,MODULY_CBA!$B$3:$N$23,13,0)&lt;='TCO TO BE- SW'!$D88,SUM('TCO TO BE- SW'!W$6:W$15)*VLOOKUP('TCO TO BE- SW'!W$2,MODULY_CBA!$B$3:$M$23,12,0),0),0)</f>
        <v>0</v>
      </c>
      <c r="X88" s="575">
        <f>IFERROR(IF(VLOOKUP(X$2,MODULY_CBA!$B$3:$N$23,13,0)&lt;='TCO TO BE- SW'!$D88,SUM('TCO TO BE- SW'!X$6:X$15)*VLOOKUP('TCO TO BE- SW'!X$2,MODULY_CBA!$B$3:$M$23,12,0),0),0)</f>
        <v>0</v>
      </c>
      <c r="Y88" s="575">
        <f>IFERROR(IF(VLOOKUP(Y$2,MODULY_CBA!$B$3:$N$23,13,0)&lt;='TCO TO BE- SW'!$D88,SUM('TCO TO BE- SW'!Y$6:Y$15)*VLOOKUP('TCO TO BE- SW'!Y$2,MODULY_CBA!$B$3:$M$23,12,0),0),0)</f>
        <v>0</v>
      </c>
      <c r="Z88" s="575">
        <f>IFERROR(IF(VLOOKUP(Z$2,MODULY_CBA!$B$3:$N$23,13,0)&lt;='TCO TO BE- SW'!$D88,SUM('TCO TO BE- SW'!Z$6:Z$15)*VLOOKUP('TCO TO BE- SW'!Z$2,MODULY_CBA!$B$3:$M$23,12,0),0),0)</f>
        <v>0</v>
      </c>
    </row>
    <row r="89" spans="1:26" outlineLevel="2">
      <c r="A89" s="807" t="s">
        <v>82</v>
      </c>
      <c r="B89" s="808" t="s">
        <v>73</v>
      </c>
      <c r="C89" s="808">
        <v>718006</v>
      </c>
      <c r="D89" s="63">
        <v>1</v>
      </c>
      <c r="E89" s="61">
        <f t="shared" si="12"/>
        <v>0</v>
      </c>
      <c r="F89" s="576">
        <f>IFERROR(IF(VLOOKUP(F$2,MODULY_CBA!$B$3:$N$23,13,0)&lt;='TCO TO BE- SW'!$D89,SUM('TCO TO BE- SW'!F$6:F$15)*VLOOKUP('TCO TO BE- SW'!F$2,MODULY_CBA!$B$3:$L$23,11,0),0),0)</f>
        <v>0</v>
      </c>
      <c r="G89" s="576">
        <f>IFERROR(IF(VLOOKUP(G$2,MODULY_CBA!$B$3:$N$23,13,0)&lt;='TCO TO BE- SW'!$D89,SUM('TCO TO BE- SW'!G$6:G$15)*VLOOKUP('TCO TO BE- SW'!G$2,MODULY_CBA!$B$3:$L$23,11,0),0),0)</f>
        <v>0</v>
      </c>
      <c r="H89" s="576">
        <f>IFERROR(IF(VLOOKUP(H$2,MODULY_CBA!$B$3:$N$23,13,0)&lt;='TCO TO BE- SW'!$D89,SUM('TCO TO BE- SW'!H$6:H$15)*VLOOKUP('TCO TO BE- SW'!H$2,MODULY_CBA!$B$3:$L$23,11,0),0),0)</f>
        <v>0</v>
      </c>
      <c r="I89" s="576">
        <f>IFERROR(IF(VLOOKUP(I$2,MODULY_CBA!$B$3:$N$23,13,0)&lt;='TCO TO BE- SW'!$D89,SUM('TCO TO BE- SW'!I$6:I$15)*VLOOKUP('TCO TO BE- SW'!I$2,MODULY_CBA!$B$3:$L$23,11,0),0),0)</f>
        <v>0</v>
      </c>
      <c r="J89" s="576">
        <f>IFERROR(IF(VLOOKUP(J$2,MODULY_CBA!$B$3:$N$23,13,0)&lt;='TCO TO BE- SW'!$D89,SUM('TCO TO BE- SW'!J$6:J$15)*VLOOKUP('TCO TO BE- SW'!J$2,MODULY_CBA!$B$3:$L$23,11,0),0),0)</f>
        <v>0</v>
      </c>
      <c r="K89" s="576">
        <f>IFERROR(IF(VLOOKUP(K$2,MODULY_CBA!$B$3:$N$23,13,0)&lt;='TCO TO BE- SW'!$D89,SUM('TCO TO BE- SW'!K$6:K$15)*VLOOKUP('TCO TO BE- SW'!K$2,MODULY_CBA!$B$3:$L$23,11,0),0),0)</f>
        <v>0</v>
      </c>
      <c r="L89" s="576">
        <f>IFERROR(IF(VLOOKUP(L$2,MODULY_CBA!$B$3:$N$23,13,0)&lt;='TCO TO BE- SW'!$D89,SUM('TCO TO BE- SW'!L$6:L$15)*VLOOKUP('TCO TO BE- SW'!L$2,MODULY_CBA!$B$3:$L$23,11,0),0),0)</f>
        <v>0</v>
      </c>
      <c r="M89" s="576">
        <f>IFERROR(IF(VLOOKUP(M$2,MODULY_CBA!$B$3:$N$23,13,0)&lt;='TCO TO BE- SW'!$D89,SUM('TCO TO BE- SW'!M$6:M$15)*VLOOKUP('TCO TO BE- SW'!M$2,MODULY_CBA!$B$3:$L$23,11,0),0),0)</f>
        <v>0</v>
      </c>
      <c r="N89" s="576">
        <f>IFERROR(IF(VLOOKUP(N$2,MODULY_CBA!$B$3:$N$23,13,0)&lt;='TCO TO BE- SW'!$D89,SUM('TCO TO BE- SW'!N$6:N$15)*VLOOKUP('TCO TO BE- SW'!N$2,MODULY_CBA!$B$3:$L$23,11,0),0),0)</f>
        <v>0</v>
      </c>
      <c r="O89" s="576">
        <f>IFERROR(IF(VLOOKUP(O$2,MODULY_CBA!$B$3:$N$23,13,0)&lt;='TCO TO BE- SW'!$D89,SUM('TCO TO BE- SW'!O$6:O$15)*VLOOKUP('TCO TO BE- SW'!O$2,MODULY_CBA!$B$3:$L$23,11,0),0),0)</f>
        <v>0</v>
      </c>
      <c r="P89" s="576">
        <f>IFERROR(IF(VLOOKUP(P$2,MODULY_CBA!$B$3:$N$23,13,0)&lt;='TCO TO BE- SW'!$D89,SUM('TCO TO BE- SW'!P$6:P$15)*VLOOKUP('TCO TO BE- SW'!P$2,MODULY_CBA!$B$3:$L$23,11,0),0),0)</f>
        <v>0</v>
      </c>
      <c r="Q89" s="576">
        <f>IFERROR(IF(VLOOKUP(Q$2,MODULY_CBA!$B$3:$N$23,13,0)&lt;='TCO TO BE- SW'!$D89,SUM('TCO TO BE- SW'!Q$6:Q$15)*VLOOKUP('TCO TO BE- SW'!Q$2,MODULY_CBA!$B$3:$L$23,11,0),0),0)</f>
        <v>0</v>
      </c>
      <c r="R89" s="576">
        <f>IFERROR(IF(VLOOKUP(R$2,MODULY_CBA!$B$3:$N$23,13,0)&lt;='TCO TO BE- SW'!$D89,SUM('TCO TO BE- SW'!R$6:R$15)*VLOOKUP('TCO TO BE- SW'!R$2,MODULY_CBA!$B$3:$L$23,11,0),0),0)</f>
        <v>0</v>
      </c>
      <c r="S89" s="576">
        <f>IFERROR(IF(VLOOKUP(S$2,MODULY_CBA!$B$3:$N$23,13,0)&lt;='TCO TO BE- SW'!$D89,SUM('TCO TO BE- SW'!S$6:S$15)*VLOOKUP('TCO TO BE- SW'!S$2,MODULY_CBA!$B$3:$L$23,11,0),0),0)</f>
        <v>0</v>
      </c>
      <c r="T89" s="576">
        <f>IFERROR(IF(VLOOKUP(T$2,MODULY_CBA!$B$3:$N$23,13,0)&lt;='TCO TO BE- SW'!$D89,SUM('TCO TO BE- SW'!T$6:T$15)*VLOOKUP('TCO TO BE- SW'!T$2,MODULY_CBA!$B$3:$L$23,11,0),0),0)</f>
        <v>0</v>
      </c>
      <c r="U89" s="576">
        <f>IFERROR(IF(VLOOKUP(U$2,MODULY_CBA!$B$3:$N$23,13,0)&lt;='TCO TO BE- SW'!$D89,SUM('TCO TO BE- SW'!U$6:U$15)*VLOOKUP('TCO TO BE- SW'!U$2,MODULY_CBA!$B$3:$L$23,11,0),0),0)</f>
        <v>0</v>
      </c>
      <c r="V89" s="576">
        <f>IFERROR(IF(VLOOKUP(V$2,MODULY_CBA!$B$3:$N$23,13,0)&lt;='TCO TO BE- SW'!$D89,SUM('TCO TO BE- SW'!V$6:V$15)*VLOOKUP('TCO TO BE- SW'!V$2,MODULY_CBA!$B$3:$L$23,11,0),0),0)</f>
        <v>0</v>
      </c>
      <c r="W89" s="576">
        <f>IFERROR(IF(VLOOKUP(W$2,MODULY_CBA!$B$3:$N$23,13,0)&lt;='TCO TO BE- SW'!$D89,SUM('TCO TO BE- SW'!W$6:W$15)*VLOOKUP('TCO TO BE- SW'!W$2,MODULY_CBA!$B$3:$L$23,11,0),0),0)</f>
        <v>0</v>
      </c>
      <c r="X89" s="576">
        <f>IFERROR(IF(VLOOKUP(X$2,MODULY_CBA!$B$3:$N$23,13,0)&lt;='TCO TO BE- SW'!$D89,SUM('TCO TO BE- SW'!X$6:X$15)*VLOOKUP('TCO TO BE- SW'!X$2,MODULY_CBA!$B$3:$L$23,11,0),0),0)</f>
        <v>0</v>
      </c>
      <c r="Y89" s="576">
        <f>IFERROR(IF(VLOOKUP(Y$2,MODULY_CBA!$B$3:$N$23,13,0)&lt;='TCO TO BE- SW'!$D89,SUM('TCO TO BE- SW'!Y$6:Y$15)*VLOOKUP('TCO TO BE- SW'!Y$2,MODULY_CBA!$B$3:$L$23,11,0),0),0)</f>
        <v>0</v>
      </c>
      <c r="Z89" s="576">
        <f>IFERROR(IF(VLOOKUP(Z$2,MODULY_CBA!$B$3:$N$23,13,0)&lt;='TCO TO BE- SW'!$D89,SUM('TCO TO BE- SW'!Z$6:Z$15)*VLOOKUP('TCO TO BE- SW'!Z$2,MODULY_CBA!$B$3:$L$23,11,0),0),0)</f>
        <v>0</v>
      </c>
    </row>
    <row r="90" spans="1:26" outlineLevel="2">
      <c r="A90" s="807"/>
      <c r="B90" s="808"/>
      <c r="C90" s="808"/>
      <c r="D90" s="64">
        <v>2</v>
      </c>
      <c r="E90" s="61">
        <f t="shared" si="12"/>
        <v>0</v>
      </c>
      <c r="F90" s="575">
        <f>IFERROR(IF(VLOOKUP(F$2,MODULY_CBA!$B$3:$N$23,13,0)&lt;='TCO TO BE- SW'!$D90,SUM('TCO TO BE- SW'!F$6:F$15)*VLOOKUP('TCO TO BE- SW'!F$2,MODULY_CBA!$B$3:$L$23,11,0),0),0)</f>
        <v>0</v>
      </c>
      <c r="G90" s="575">
        <f>IFERROR(IF(VLOOKUP(G$2,MODULY_CBA!$B$3:$N$23,13,0)&lt;='TCO TO BE- SW'!$D90,SUM('TCO TO BE- SW'!G$6:G$15)*VLOOKUP('TCO TO BE- SW'!G$2,MODULY_CBA!$B$3:$L$23,11,0),0),0)</f>
        <v>0</v>
      </c>
      <c r="H90" s="575">
        <f>IFERROR(IF(VLOOKUP(H$2,MODULY_CBA!$B$3:$N$23,13,0)&lt;='TCO TO BE- SW'!$D90,SUM('TCO TO BE- SW'!H$6:H$15)*VLOOKUP('TCO TO BE- SW'!H$2,MODULY_CBA!$B$3:$L$23,11,0),0),0)</f>
        <v>0</v>
      </c>
      <c r="I90" s="575">
        <f>IFERROR(IF(VLOOKUP(I$2,MODULY_CBA!$B$3:$N$23,13,0)&lt;='TCO TO BE- SW'!$D90,SUM('TCO TO BE- SW'!I$6:I$15)*VLOOKUP('TCO TO BE- SW'!I$2,MODULY_CBA!$B$3:$L$23,11,0),0),0)</f>
        <v>0</v>
      </c>
      <c r="J90" s="575">
        <f>IFERROR(IF(VLOOKUP(J$2,MODULY_CBA!$B$3:$N$23,13,0)&lt;='TCO TO BE- SW'!$D90,SUM('TCO TO BE- SW'!J$6:J$15)*VLOOKUP('TCO TO BE- SW'!J$2,MODULY_CBA!$B$3:$L$23,11,0),0),0)</f>
        <v>0</v>
      </c>
      <c r="K90" s="575">
        <f>IFERROR(IF(VLOOKUP(K$2,MODULY_CBA!$B$3:$N$23,13,0)&lt;='TCO TO BE- SW'!$D90,SUM('TCO TO BE- SW'!K$6:K$15)*VLOOKUP('TCO TO BE- SW'!K$2,MODULY_CBA!$B$3:$L$23,11,0),0),0)</f>
        <v>0</v>
      </c>
      <c r="L90" s="575">
        <f>IFERROR(IF(VLOOKUP(L$2,MODULY_CBA!$B$3:$N$23,13,0)&lt;='TCO TO BE- SW'!$D90,SUM('TCO TO BE- SW'!L$6:L$15)*VLOOKUP('TCO TO BE- SW'!L$2,MODULY_CBA!$B$3:$L$23,11,0),0),0)</f>
        <v>0</v>
      </c>
      <c r="M90" s="575">
        <f>IFERROR(IF(VLOOKUP(M$2,MODULY_CBA!$B$3:$N$23,13,0)&lt;='TCO TO BE- SW'!$D90,SUM('TCO TO BE- SW'!M$6:M$15)*VLOOKUP('TCO TO BE- SW'!M$2,MODULY_CBA!$B$3:$L$23,11,0),0),0)</f>
        <v>0</v>
      </c>
      <c r="N90" s="575">
        <f>IFERROR(IF(VLOOKUP(N$2,MODULY_CBA!$B$3:$N$23,13,0)&lt;='TCO TO BE- SW'!$D90,SUM('TCO TO BE- SW'!N$6:N$15)*VLOOKUP('TCO TO BE- SW'!N$2,MODULY_CBA!$B$3:$L$23,11,0),0),0)</f>
        <v>0</v>
      </c>
      <c r="O90" s="575">
        <f>IFERROR(IF(VLOOKUP(O$2,MODULY_CBA!$B$3:$N$23,13,0)&lt;='TCO TO BE- SW'!$D90,SUM('TCO TO BE- SW'!O$6:O$15)*VLOOKUP('TCO TO BE- SW'!O$2,MODULY_CBA!$B$3:$L$23,11,0),0),0)</f>
        <v>0</v>
      </c>
      <c r="P90" s="575">
        <f>IFERROR(IF(VLOOKUP(P$2,MODULY_CBA!$B$3:$N$23,13,0)&lt;='TCO TO BE- SW'!$D90,SUM('TCO TO BE- SW'!P$6:P$15)*VLOOKUP('TCO TO BE- SW'!P$2,MODULY_CBA!$B$3:$L$23,11,0),0),0)</f>
        <v>0</v>
      </c>
      <c r="Q90" s="575">
        <f>IFERROR(IF(VLOOKUP(Q$2,MODULY_CBA!$B$3:$N$23,13,0)&lt;='TCO TO BE- SW'!$D90,SUM('TCO TO BE- SW'!Q$6:Q$15)*VLOOKUP('TCO TO BE- SW'!Q$2,MODULY_CBA!$B$3:$L$23,11,0),0),0)</f>
        <v>0</v>
      </c>
      <c r="R90" s="575">
        <f>IFERROR(IF(VLOOKUP(R$2,MODULY_CBA!$B$3:$N$23,13,0)&lt;='TCO TO BE- SW'!$D90,SUM('TCO TO BE- SW'!R$6:R$15)*VLOOKUP('TCO TO BE- SW'!R$2,MODULY_CBA!$B$3:$L$23,11,0),0),0)</f>
        <v>0</v>
      </c>
      <c r="S90" s="575">
        <f>IFERROR(IF(VLOOKUP(S$2,MODULY_CBA!$B$3:$N$23,13,0)&lt;='TCO TO BE- SW'!$D90,SUM('TCO TO BE- SW'!S$6:S$15)*VLOOKUP('TCO TO BE- SW'!S$2,MODULY_CBA!$B$3:$L$23,11,0),0),0)</f>
        <v>0</v>
      </c>
      <c r="T90" s="575">
        <f>IFERROR(IF(VLOOKUP(T$2,MODULY_CBA!$B$3:$N$23,13,0)&lt;='TCO TO BE- SW'!$D90,SUM('TCO TO BE- SW'!T$6:T$15)*VLOOKUP('TCO TO BE- SW'!T$2,MODULY_CBA!$B$3:$L$23,11,0),0),0)</f>
        <v>0</v>
      </c>
      <c r="U90" s="575">
        <f>IFERROR(IF(VLOOKUP(U$2,MODULY_CBA!$B$3:$N$23,13,0)&lt;='TCO TO BE- SW'!$D90,SUM('TCO TO BE- SW'!U$6:U$15)*VLOOKUP('TCO TO BE- SW'!U$2,MODULY_CBA!$B$3:$L$23,11,0),0),0)</f>
        <v>0</v>
      </c>
      <c r="V90" s="575">
        <f>IFERROR(IF(VLOOKUP(V$2,MODULY_CBA!$B$3:$N$23,13,0)&lt;='TCO TO BE- SW'!$D90,SUM('TCO TO BE- SW'!V$6:V$15)*VLOOKUP('TCO TO BE- SW'!V$2,MODULY_CBA!$B$3:$L$23,11,0),0),0)</f>
        <v>0</v>
      </c>
      <c r="W90" s="575">
        <f>IFERROR(IF(VLOOKUP(W$2,MODULY_CBA!$B$3:$N$23,13,0)&lt;='TCO TO BE- SW'!$D90,SUM('TCO TO BE- SW'!W$6:W$15)*VLOOKUP('TCO TO BE- SW'!W$2,MODULY_CBA!$B$3:$L$23,11,0),0),0)</f>
        <v>0</v>
      </c>
      <c r="X90" s="575">
        <f>IFERROR(IF(VLOOKUP(X$2,MODULY_CBA!$B$3:$N$23,13,0)&lt;='TCO TO BE- SW'!$D90,SUM('TCO TO BE- SW'!X$6:X$15)*VLOOKUP('TCO TO BE- SW'!X$2,MODULY_CBA!$B$3:$L$23,11,0),0),0)</f>
        <v>0</v>
      </c>
      <c r="Y90" s="575">
        <f>IFERROR(IF(VLOOKUP(Y$2,MODULY_CBA!$B$3:$N$23,13,0)&lt;='TCO TO BE- SW'!$D90,SUM('TCO TO BE- SW'!Y$6:Y$15)*VLOOKUP('TCO TO BE- SW'!Y$2,MODULY_CBA!$B$3:$L$23,11,0),0),0)</f>
        <v>0</v>
      </c>
      <c r="Z90" s="575">
        <f>IFERROR(IF(VLOOKUP(Z$2,MODULY_CBA!$B$3:$N$23,13,0)&lt;='TCO TO BE- SW'!$D90,SUM('TCO TO BE- SW'!Z$6:Z$15)*VLOOKUP('TCO TO BE- SW'!Z$2,MODULY_CBA!$B$3:$L$23,11,0),0),0)</f>
        <v>0</v>
      </c>
    </row>
    <row r="91" spans="1:26" outlineLevel="2">
      <c r="A91" s="807"/>
      <c r="B91" s="808"/>
      <c r="C91" s="808"/>
      <c r="D91" s="64">
        <v>3</v>
      </c>
      <c r="E91" s="61">
        <f t="shared" si="12"/>
        <v>528000</v>
      </c>
      <c r="F91" s="575">
        <f>IFERROR(IF(VLOOKUP(F$2,MODULY_CBA!$B$3:$N$23,13,0)&lt;='TCO TO BE- SW'!$D91,SUM('TCO TO BE- SW'!F$6:F$15)*VLOOKUP('TCO TO BE- SW'!F$2,MODULY_CBA!$B$3:$L$23,11,0),0),0)</f>
        <v>528000</v>
      </c>
      <c r="G91" s="575">
        <f>IFERROR(IF(VLOOKUP(G$2,MODULY_CBA!$B$3:$N$23,13,0)&lt;='TCO TO BE- SW'!$D91,SUM('TCO TO BE- SW'!G$6:G$15)*VLOOKUP('TCO TO BE- SW'!G$2,MODULY_CBA!$B$3:$L$23,11,0),0),0)</f>
        <v>0</v>
      </c>
      <c r="H91" s="575">
        <f>IFERROR(IF(VLOOKUP(H$2,MODULY_CBA!$B$3:$N$23,13,0)&lt;='TCO TO BE- SW'!$D91,SUM('TCO TO BE- SW'!H$6:H$15)*VLOOKUP('TCO TO BE- SW'!H$2,MODULY_CBA!$B$3:$L$23,11,0),0),0)</f>
        <v>0</v>
      </c>
      <c r="I91" s="575">
        <f>IFERROR(IF(VLOOKUP(I$2,MODULY_CBA!$B$3:$N$23,13,0)&lt;='TCO TO BE- SW'!$D91,SUM('TCO TO BE- SW'!I$6:I$15)*VLOOKUP('TCO TO BE- SW'!I$2,MODULY_CBA!$B$3:$L$23,11,0),0),0)</f>
        <v>0</v>
      </c>
      <c r="J91" s="575">
        <f>IFERROR(IF(VLOOKUP(J$2,MODULY_CBA!$B$3:$N$23,13,0)&lt;='TCO TO BE- SW'!$D91,SUM('TCO TO BE- SW'!J$6:J$15)*VLOOKUP('TCO TO BE- SW'!J$2,MODULY_CBA!$B$3:$L$23,11,0),0),0)</f>
        <v>0</v>
      </c>
      <c r="K91" s="575">
        <f>IFERROR(IF(VLOOKUP(K$2,MODULY_CBA!$B$3:$N$23,13,0)&lt;='TCO TO BE- SW'!$D91,SUM('TCO TO BE- SW'!K$6:K$15)*VLOOKUP('TCO TO BE- SW'!K$2,MODULY_CBA!$B$3:$L$23,11,0),0),0)</f>
        <v>0</v>
      </c>
      <c r="L91" s="575">
        <f>IFERROR(IF(VLOOKUP(L$2,MODULY_CBA!$B$3:$N$23,13,0)&lt;='TCO TO BE- SW'!$D91,SUM('TCO TO BE- SW'!L$6:L$15)*VLOOKUP('TCO TO BE- SW'!L$2,MODULY_CBA!$B$3:$L$23,11,0),0),0)</f>
        <v>0</v>
      </c>
      <c r="M91" s="575">
        <f>IFERROR(IF(VLOOKUP(M$2,MODULY_CBA!$B$3:$N$23,13,0)&lt;='TCO TO BE- SW'!$D91,SUM('TCO TO BE- SW'!M$6:M$15)*VLOOKUP('TCO TO BE- SW'!M$2,MODULY_CBA!$B$3:$L$23,11,0),0),0)</f>
        <v>0</v>
      </c>
      <c r="N91" s="575">
        <f>IFERROR(IF(VLOOKUP(N$2,MODULY_CBA!$B$3:$N$23,13,0)&lt;='TCO TO BE- SW'!$D91,SUM('TCO TO BE- SW'!N$6:N$15)*VLOOKUP('TCO TO BE- SW'!N$2,MODULY_CBA!$B$3:$L$23,11,0),0),0)</f>
        <v>0</v>
      </c>
      <c r="O91" s="575">
        <f>IFERROR(IF(VLOOKUP(O$2,MODULY_CBA!$B$3:$N$23,13,0)&lt;='TCO TO BE- SW'!$D91,SUM('TCO TO BE- SW'!O$6:O$15)*VLOOKUP('TCO TO BE- SW'!O$2,MODULY_CBA!$B$3:$L$23,11,0),0),0)</f>
        <v>0</v>
      </c>
      <c r="P91" s="575">
        <f>IFERROR(IF(VLOOKUP(P$2,MODULY_CBA!$B$3:$N$23,13,0)&lt;='TCO TO BE- SW'!$D91,SUM('TCO TO BE- SW'!P$6:P$15)*VLOOKUP('TCO TO BE- SW'!P$2,MODULY_CBA!$B$3:$L$23,11,0),0),0)</f>
        <v>0</v>
      </c>
      <c r="Q91" s="575">
        <f>IFERROR(IF(VLOOKUP(Q$2,MODULY_CBA!$B$3:$N$23,13,0)&lt;='TCO TO BE- SW'!$D91,SUM('TCO TO BE- SW'!Q$6:Q$15)*VLOOKUP('TCO TO BE- SW'!Q$2,MODULY_CBA!$B$3:$L$23,11,0),0),0)</f>
        <v>0</v>
      </c>
      <c r="R91" s="575">
        <f>IFERROR(IF(VLOOKUP(R$2,MODULY_CBA!$B$3:$N$23,13,0)&lt;='TCO TO BE- SW'!$D91,SUM('TCO TO BE- SW'!R$6:R$15)*VLOOKUP('TCO TO BE- SW'!R$2,MODULY_CBA!$B$3:$L$23,11,0),0),0)</f>
        <v>0</v>
      </c>
      <c r="S91" s="575">
        <f>IFERROR(IF(VLOOKUP(S$2,MODULY_CBA!$B$3:$N$23,13,0)&lt;='TCO TO BE- SW'!$D91,SUM('TCO TO BE- SW'!S$6:S$15)*VLOOKUP('TCO TO BE- SW'!S$2,MODULY_CBA!$B$3:$L$23,11,0),0),0)</f>
        <v>0</v>
      </c>
      <c r="T91" s="575">
        <f>IFERROR(IF(VLOOKUP(T$2,MODULY_CBA!$B$3:$N$23,13,0)&lt;='TCO TO BE- SW'!$D91,SUM('TCO TO BE- SW'!T$6:T$15)*VLOOKUP('TCO TO BE- SW'!T$2,MODULY_CBA!$B$3:$L$23,11,0),0),0)</f>
        <v>0</v>
      </c>
      <c r="U91" s="575">
        <f>IFERROR(IF(VLOOKUP(U$2,MODULY_CBA!$B$3:$N$23,13,0)&lt;='TCO TO BE- SW'!$D91,SUM('TCO TO BE- SW'!U$6:U$15)*VLOOKUP('TCO TO BE- SW'!U$2,MODULY_CBA!$B$3:$L$23,11,0),0),0)</f>
        <v>0</v>
      </c>
      <c r="V91" s="575">
        <f>IFERROR(IF(VLOOKUP(V$2,MODULY_CBA!$B$3:$N$23,13,0)&lt;='TCO TO BE- SW'!$D91,SUM('TCO TO BE- SW'!V$6:V$15)*VLOOKUP('TCO TO BE- SW'!V$2,MODULY_CBA!$B$3:$L$23,11,0),0),0)</f>
        <v>0</v>
      </c>
      <c r="W91" s="575">
        <f>IFERROR(IF(VLOOKUP(W$2,MODULY_CBA!$B$3:$N$23,13,0)&lt;='TCO TO BE- SW'!$D91,SUM('TCO TO BE- SW'!W$6:W$15)*VLOOKUP('TCO TO BE- SW'!W$2,MODULY_CBA!$B$3:$L$23,11,0),0),0)</f>
        <v>0</v>
      </c>
      <c r="X91" s="575">
        <f>IFERROR(IF(VLOOKUP(X$2,MODULY_CBA!$B$3:$N$23,13,0)&lt;='TCO TO BE- SW'!$D91,SUM('TCO TO BE- SW'!X$6:X$15)*VLOOKUP('TCO TO BE- SW'!X$2,MODULY_CBA!$B$3:$L$23,11,0),0),0)</f>
        <v>0</v>
      </c>
      <c r="Y91" s="575">
        <f>IFERROR(IF(VLOOKUP(Y$2,MODULY_CBA!$B$3:$N$23,13,0)&lt;='TCO TO BE- SW'!$D91,SUM('TCO TO BE- SW'!Y$6:Y$15)*VLOOKUP('TCO TO BE- SW'!Y$2,MODULY_CBA!$B$3:$L$23,11,0),0),0)</f>
        <v>0</v>
      </c>
      <c r="Z91" s="575">
        <f>IFERROR(IF(VLOOKUP(Z$2,MODULY_CBA!$B$3:$N$23,13,0)&lt;='TCO TO BE- SW'!$D91,SUM('TCO TO BE- SW'!Z$6:Z$15)*VLOOKUP('TCO TO BE- SW'!Z$2,MODULY_CBA!$B$3:$L$23,11,0),0),0)</f>
        <v>0</v>
      </c>
    </row>
    <row r="92" spans="1:26" outlineLevel="2">
      <c r="A92" s="807"/>
      <c r="B92" s="808"/>
      <c r="C92" s="808"/>
      <c r="D92" s="64">
        <v>4</v>
      </c>
      <c r="E92" s="61">
        <f t="shared" si="12"/>
        <v>528000</v>
      </c>
      <c r="F92" s="575">
        <f>IFERROR(IF(VLOOKUP(F$2,MODULY_CBA!$B$3:$N$23,13,0)&lt;='TCO TO BE- SW'!$D92,SUM('TCO TO BE- SW'!F$6:F$15)*VLOOKUP('TCO TO BE- SW'!F$2,MODULY_CBA!$B$3:$L$23,11,0),0),0)</f>
        <v>528000</v>
      </c>
      <c r="G92" s="575">
        <f>IFERROR(IF(VLOOKUP(G$2,MODULY_CBA!$B$3:$N$23,13,0)&lt;='TCO TO BE- SW'!$D92,SUM('TCO TO BE- SW'!G$6:G$15)*VLOOKUP('TCO TO BE- SW'!G$2,MODULY_CBA!$B$3:$L$23,11,0),0),0)</f>
        <v>0</v>
      </c>
      <c r="H92" s="575">
        <f>IFERROR(IF(VLOOKUP(H$2,MODULY_CBA!$B$3:$N$23,13,0)&lt;='TCO TO BE- SW'!$D92,SUM('TCO TO BE- SW'!H$6:H$15)*VLOOKUP('TCO TO BE- SW'!H$2,MODULY_CBA!$B$3:$L$23,11,0),0),0)</f>
        <v>0</v>
      </c>
      <c r="I92" s="575">
        <f>IFERROR(IF(VLOOKUP(I$2,MODULY_CBA!$B$3:$N$23,13,0)&lt;='TCO TO BE- SW'!$D92,SUM('TCO TO BE- SW'!I$6:I$15)*VLOOKUP('TCO TO BE- SW'!I$2,MODULY_CBA!$B$3:$L$23,11,0),0),0)</f>
        <v>0</v>
      </c>
      <c r="J92" s="575">
        <f>IFERROR(IF(VLOOKUP(J$2,MODULY_CBA!$B$3:$N$23,13,0)&lt;='TCO TO BE- SW'!$D92,SUM('TCO TO BE- SW'!J$6:J$15)*VLOOKUP('TCO TO BE- SW'!J$2,MODULY_CBA!$B$3:$L$23,11,0),0),0)</f>
        <v>0</v>
      </c>
      <c r="K92" s="575">
        <f>IFERROR(IF(VLOOKUP(K$2,MODULY_CBA!$B$3:$N$23,13,0)&lt;='TCO TO BE- SW'!$D92,SUM('TCO TO BE- SW'!K$6:K$15)*VLOOKUP('TCO TO BE- SW'!K$2,MODULY_CBA!$B$3:$L$23,11,0),0),0)</f>
        <v>0</v>
      </c>
      <c r="L92" s="575">
        <f>IFERROR(IF(VLOOKUP(L$2,MODULY_CBA!$B$3:$N$23,13,0)&lt;='TCO TO BE- SW'!$D92,SUM('TCO TO BE- SW'!L$6:L$15)*VLOOKUP('TCO TO BE- SW'!L$2,MODULY_CBA!$B$3:$L$23,11,0),0),0)</f>
        <v>0</v>
      </c>
      <c r="M92" s="575">
        <f>IFERROR(IF(VLOOKUP(M$2,MODULY_CBA!$B$3:$N$23,13,0)&lt;='TCO TO BE- SW'!$D92,SUM('TCO TO BE- SW'!M$6:M$15)*VLOOKUP('TCO TO BE- SW'!M$2,MODULY_CBA!$B$3:$L$23,11,0),0),0)</f>
        <v>0</v>
      </c>
      <c r="N92" s="575">
        <f>IFERROR(IF(VLOOKUP(N$2,MODULY_CBA!$B$3:$N$23,13,0)&lt;='TCO TO BE- SW'!$D92,SUM('TCO TO BE- SW'!N$6:N$15)*VLOOKUP('TCO TO BE- SW'!N$2,MODULY_CBA!$B$3:$L$23,11,0),0),0)</f>
        <v>0</v>
      </c>
      <c r="O92" s="575">
        <f>IFERROR(IF(VLOOKUP(O$2,MODULY_CBA!$B$3:$N$23,13,0)&lt;='TCO TO BE- SW'!$D92,SUM('TCO TO BE- SW'!O$6:O$15)*VLOOKUP('TCO TO BE- SW'!O$2,MODULY_CBA!$B$3:$L$23,11,0),0),0)</f>
        <v>0</v>
      </c>
      <c r="P92" s="575">
        <f>IFERROR(IF(VLOOKUP(P$2,MODULY_CBA!$B$3:$N$23,13,0)&lt;='TCO TO BE- SW'!$D92,SUM('TCO TO BE- SW'!P$6:P$15)*VLOOKUP('TCO TO BE- SW'!P$2,MODULY_CBA!$B$3:$L$23,11,0),0),0)</f>
        <v>0</v>
      </c>
      <c r="Q92" s="575">
        <f>IFERROR(IF(VLOOKUP(Q$2,MODULY_CBA!$B$3:$N$23,13,0)&lt;='TCO TO BE- SW'!$D92,SUM('TCO TO BE- SW'!Q$6:Q$15)*VLOOKUP('TCO TO BE- SW'!Q$2,MODULY_CBA!$B$3:$L$23,11,0),0),0)</f>
        <v>0</v>
      </c>
      <c r="R92" s="575">
        <f>IFERROR(IF(VLOOKUP(R$2,MODULY_CBA!$B$3:$N$23,13,0)&lt;='TCO TO BE- SW'!$D92,SUM('TCO TO BE- SW'!R$6:R$15)*VLOOKUP('TCO TO BE- SW'!R$2,MODULY_CBA!$B$3:$L$23,11,0),0),0)</f>
        <v>0</v>
      </c>
      <c r="S92" s="575">
        <f>IFERROR(IF(VLOOKUP(S$2,MODULY_CBA!$B$3:$N$23,13,0)&lt;='TCO TO BE- SW'!$D92,SUM('TCO TO BE- SW'!S$6:S$15)*VLOOKUP('TCO TO BE- SW'!S$2,MODULY_CBA!$B$3:$L$23,11,0),0),0)</f>
        <v>0</v>
      </c>
      <c r="T92" s="575">
        <f>IFERROR(IF(VLOOKUP(T$2,MODULY_CBA!$B$3:$N$23,13,0)&lt;='TCO TO BE- SW'!$D92,SUM('TCO TO BE- SW'!T$6:T$15)*VLOOKUP('TCO TO BE- SW'!T$2,MODULY_CBA!$B$3:$L$23,11,0),0),0)</f>
        <v>0</v>
      </c>
      <c r="U92" s="575">
        <f>IFERROR(IF(VLOOKUP(U$2,MODULY_CBA!$B$3:$N$23,13,0)&lt;='TCO TO BE- SW'!$D92,SUM('TCO TO BE- SW'!U$6:U$15)*VLOOKUP('TCO TO BE- SW'!U$2,MODULY_CBA!$B$3:$L$23,11,0),0),0)</f>
        <v>0</v>
      </c>
      <c r="V92" s="575">
        <f>IFERROR(IF(VLOOKUP(V$2,MODULY_CBA!$B$3:$N$23,13,0)&lt;='TCO TO BE- SW'!$D92,SUM('TCO TO BE- SW'!V$6:V$15)*VLOOKUP('TCO TO BE- SW'!V$2,MODULY_CBA!$B$3:$L$23,11,0),0),0)</f>
        <v>0</v>
      </c>
      <c r="W92" s="575">
        <f>IFERROR(IF(VLOOKUP(W$2,MODULY_CBA!$B$3:$N$23,13,0)&lt;='TCO TO BE- SW'!$D92,SUM('TCO TO BE- SW'!W$6:W$15)*VLOOKUP('TCO TO BE- SW'!W$2,MODULY_CBA!$B$3:$L$23,11,0),0),0)</f>
        <v>0</v>
      </c>
      <c r="X92" s="575">
        <f>IFERROR(IF(VLOOKUP(X$2,MODULY_CBA!$B$3:$N$23,13,0)&lt;='TCO TO BE- SW'!$D92,SUM('TCO TO BE- SW'!X$6:X$15)*VLOOKUP('TCO TO BE- SW'!X$2,MODULY_CBA!$B$3:$L$23,11,0),0),0)</f>
        <v>0</v>
      </c>
      <c r="Y92" s="575">
        <f>IFERROR(IF(VLOOKUP(Y$2,MODULY_CBA!$B$3:$N$23,13,0)&lt;='TCO TO BE- SW'!$D92,SUM('TCO TO BE- SW'!Y$6:Y$15)*VLOOKUP('TCO TO BE- SW'!Y$2,MODULY_CBA!$B$3:$L$23,11,0),0),0)</f>
        <v>0</v>
      </c>
      <c r="Z92" s="575">
        <f>IFERROR(IF(VLOOKUP(Z$2,MODULY_CBA!$B$3:$N$23,13,0)&lt;='TCO TO BE- SW'!$D92,SUM('TCO TO BE- SW'!Z$6:Z$15)*VLOOKUP('TCO TO BE- SW'!Z$2,MODULY_CBA!$B$3:$L$23,11,0),0),0)</f>
        <v>0</v>
      </c>
    </row>
    <row r="93" spans="1:26" outlineLevel="2">
      <c r="A93" s="807"/>
      <c r="B93" s="808"/>
      <c r="C93" s="808"/>
      <c r="D93" s="64">
        <v>5</v>
      </c>
      <c r="E93" s="61">
        <f t="shared" si="12"/>
        <v>528000</v>
      </c>
      <c r="F93" s="575">
        <f>IFERROR(IF(VLOOKUP(F$2,MODULY_CBA!$B$3:$N$23,13,0)&lt;='TCO TO BE- SW'!$D93,SUM('TCO TO BE- SW'!F$6:F$15)*VLOOKUP('TCO TO BE- SW'!F$2,MODULY_CBA!$B$3:$L$23,11,0),0),0)</f>
        <v>528000</v>
      </c>
      <c r="G93" s="575">
        <f>IFERROR(IF(VLOOKUP(G$2,MODULY_CBA!$B$3:$N$23,13,0)&lt;='TCO TO BE- SW'!$D93,SUM('TCO TO BE- SW'!G$6:G$15)*VLOOKUP('TCO TO BE- SW'!G$2,MODULY_CBA!$B$3:$L$23,11,0),0),0)</f>
        <v>0</v>
      </c>
      <c r="H93" s="575">
        <f>IFERROR(IF(VLOOKUP(H$2,MODULY_CBA!$B$3:$N$23,13,0)&lt;='TCO TO BE- SW'!$D93,SUM('TCO TO BE- SW'!H$6:H$15)*VLOOKUP('TCO TO BE- SW'!H$2,MODULY_CBA!$B$3:$L$23,11,0),0),0)</f>
        <v>0</v>
      </c>
      <c r="I93" s="575">
        <f>IFERROR(IF(VLOOKUP(I$2,MODULY_CBA!$B$3:$N$23,13,0)&lt;='TCO TO BE- SW'!$D93,SUM('TCO TO BE- SW'!I$6:I$15)*VLOOKUP('TCO TO BE- SW'!I$2,MODULY_CBA!$B$3:$L$23,11,0),0),0)</f>
        <v>0</v>
      </c>
      <c r="J93" s="575">
        <f>IFERROR(IF(VLOOKUP(J$2,MODULY_CBA!$B$3:$N$23,13,0)&lt;='TCO TO BE- SW'!$D93,SUM('TCO TO BE- SW'!J$6:J$15)*VLOOKUP('TCO TO BE- SW'!J$2,MODULY_CBA!$B$3:$L$23,11,0),0),0)</f>
        <v>0</v>
      </c>
      <c r="K93" s="575">
        <f>IFERROR(IF(VLOOKUP(K$2,MODULY_CBA!$B$3:$N$23,13,0)&lt;='TCO TO BE- SW'!$D93,SUM('TCO TO BE- SW'!K$6:K$15)*VLOOKUP('TCO TO BE- SW'!K$2,MODULY_CBA!$B$3:$L$23,11,0),0),0)</f>
        <v>0</v>
      </c>
      <c r="L93" s="575">
        <f>IFERROR(IF(VLOOKUP(L$2,MODULY_CBA!$B$3:$N$23,13,0)&lt;='TCO TO BE- SW'!$D93,SUM('TCO TO BE- SW'!L$6:L$15)*VLOOKUP('TCO TO BE- SW'!L$2,MODULY_CBA!$B$3:$L$23,11,0),0),0)</f>
        <v>0</v>
      </c>
      <c r="M93" s="575">
        <f>IFERROR(IF(VLOOKUP(M$2,MODULY_CBA!$B$3:$N$23,13,0)&lt;='TCO TO BE- SW'!$D93,SUM('TCO TO BE- SW'!M$6:M$15)*VLOOKUP('TCO TO BE- SW'!M$2,MODULY_CBA!$B$3:$L$23,11,0),0),0)</f>
        <v>0</v>
      </c>
      <c r="N93" s="575">
        <f>IFERROR(IF(VLOOKUP(N$2,MODULY_CBA!$B$3:$N$23,13,0)&lt;='TCO TO BE- SW'!$D93,SUM('TCO TO BE- SW'!N$6:N$15)*VLOOKUP('TCO TO BE- SW'!N$2,MODULY_CBA!$B$3:$L$23,11,0),0),0)</f>
        <v>0</v>
      </c>
      <c r="O93" s="575">
        <f>IFERROR(IF(VLOOKUP(O$2,MODULY_CBA!$B$3:$N$23,13,0)&lt;='TCO TO BE- SW'!$D93,SUM('TCO TO BE- SW'!O$6:O$15)*VLOOKUP('TCO TO BE- SW'!O$2,MODULY_CBA!$B$3:$L$23,11,0),0),0)</f>
        <v>0</v>
      </c>
      <c r="P93" s="575">
        <f>IFERROR(IF(VLOOKUP(P$2,MODULY_CBA!$B$3:$N$23,13,0)&lt;='TCO TO BE- SW'!$D93,SUM('TCO TO BE- SW'!P$6:P$15)*VLOOKUP('TCO TO BE- SW'!P$2,MODULY_CBA!$B$3:$L$23,11,0),0),0)</f>
        <v>0</v>
      </c>
      <c r="Q93" s="575">
        <f>IFERROR(IF(VLOOKUP(Q$2,MODULY_CBA!$B$3:$N$23,13,0)&lt;='TCO TO BE- SW'!$D93,SUM('TCO TO BE- SW'!Q$6:Q$15)*VLOOKUP('TCO TO BE- SW'!Q$2,MODULY_CBA!$B$3:$L$23,11,0),0),0)</f>
        <v>0</v>
      </c>
      <c r="R93" s="575">
        <f>IFERROR(IF(VLOOKUP(R$2,MODULY_CBA!$B$3:$N$23,13,0)&lt;='TCO TO BE- SW'!$D93,SUM('TCO TO BE- SW'!R$6:R$15)*VLOOKUP('TCO TO BE- SW'!R$2,MODULY_CBA!$B$3:$L$23,11,0),0),0)</f>
        <v>0</v>
      </c>
      <c r="S93" s="575">
        <f>IFERROR(IF(VLOOKUP(S$2,MODULY_CBA!$B$3:$N$23,13,0)&lt;='TCO TO BE- SW'!$D93,SUM('TCO TO BE- SW'!S$6:S$15)*VLOOKUP('TCO TO BE- SW'!S$2,MODULY_CBA!$B$3:$L$23,11,0),0),0)</f>
        <v>0</v>
      </c>
      <c r="T93" s="575">
        <f>IFERROR(IF(VLOOKUP(T$2,MODULY_CBA!$B$3:$N$23,13,0)&lt;='TCO TO BE- SW'!$D93,SUM('TCO TO BE- SW'!T$6:T$15)*VLOOKUP('TCO TO BE- SW'!T$2,MODULY_CBA!$B$3:$L$23,11,0),0),0)</f>
        <v>0</v>
      </c>
      <c r="U93" s="575">
        <f>IFERROR(IF(VLOOKUP(U$2,MODULY_CBA!$B$3:$N$23,13,0)&lt;='TCO TO BE- SW'!$D93,SUM('TCO TO BE- SW'!U$6:U$15)*VLOOKUP('TCO TO BE- SW'!U$2,MODULY_CBA!$B$3:$L$23,11,0),0),0)</f>
        <v>0</v>
      </c>
      <c r="V93" s="575">
        <f>IFERROR(IF(VLOOKUP(V$2,MODULY_CBA!$B$3:$N$23,13,0)&lt;='TCO TO BE- SW'!$D93,SUM('TCO TO BE- SW'!V$6:V$15)*VLOOKUP('TCO TO BE- SW'!V$2,MODULY_CBA!$B$3:$L$23,11,0),0),0)</f>
        <v>0</v>
      </c>
      <c r="W93" s="575">
        <f>IFERROR(IF(VLOOKUP(W$2,MODULY_CBA!$B$3:$N$23,13,0)&lt;='TCO TO BE- SW'!$D93,SUM('TCO TO BE- SW'!W$6:W$15)*VLOOKUP('TCO TO BE- SW'!W$2,MODULY_CBA!$B$3:$L$23,11,0),0),0)</f>
        <v>0</v>
      </c>
      <c r="X93" s="575">
        <f>IFERROR(IF(VLOOKUP(X$2,MODULY_CBA!$B$3:$N$23,13,0)&lt;='TCO TO BE- SW'!$D93,SUM('TCO TO BE- SW'!X$6:X$15)*VLOOKUP('TCO TO BE- SW'!X$2,MODULY_CBA!$B$3:$L$23,11,0),0),0)</f>
        <v>0</v>
      </c>
      <c r="Y93" s="575">
        <f>IFERROR(IF(VLOOKUP(Y$2,MODULY_CBA!$B$3:$N$23,13,0)&lt;='TCO TO BE- SW'!$D93,SUM('TCO TO BE- SW'!Y$6:Y$15)*VLOOKUP('TCO TO BE- SW'!Y$2,MODULY_CBA!$B$3:$L$23,11,0),0),0)</f>
        <v>0</v>
      </c>
      <c r="Z93" s="575">
        <f>IFERROR(IF(VLOOKUP(Z$2,MODULY_CBA!$B$3:$N$23,13,0)&lt;='TCO TO BE- SW'!$D93,SUM('TCO TO BE- SW'!Z$6:Z$15)*VLOOKUP('TCO TO BE- SW'!Z$2,MODULY_CBA!$B$3:$L$23,11,0),0),0)</f>
        <v>0</v>
      </c>
    </row>
    <row r="94" spans="1:26" outlineLevel="2">
      <c r="A94" s="807"/>
      <c r="B94" s="808"/>
      <c r="C94" s="808"/>
      <c r="D94" s="64">
        <v>6</v>
      </c>
      <c r="E94" s="61">
        <f t="shared" si="12"/>
        <v>528000</v>
      </c>
      <c r="F94" s="575">
        <f>IFERROR(IF(VLOOKUP(F$2,MODULY_CBA!$B$3:$N$23,13,0)&lt;='TCO TO BE- SW'!$D94,SUM('TCO TO BE- SW'!F$6:F$15)*VLOOKUP('TCO TO BE- SW'!F$2,MODULY_CBA!$B$3:$L$23,11,0),0),0)</f>
        <v>528000</v>
      </c>
      <c r="G94" s="575">
        <f>IFERROR(IF(VLOOKUP(G$2,MODULY_CBA!$B$3:$N$23,13,0)&lt;='TCO TO BE- SW'!$D94,SUM('TCO TO BE- SW'!G$6:G$15)*VLOOKUP('TCO TO BE- SW'!G$2,MODULY_CBA!$B$3:$L$23,11,0),0),0)</f>
        <v>0</v>
      </c>
      <c r="H94" s="575">
        <f>IFERROR(IF(VLOOKUP(H$2,MODULY_CBA!$B$3:$N$23,13,0)&lt;='TCO TO BE- SW'!$D94,SUM('TCO TO BE- SW'!H$6:H$15)*VLOOKUP('TCO TO BE- SW'!H$2,MODULY_CBA!$B$3:$L$23,11,0),0),0)</f>
        <v>0</v>
      </c>
      <c r="I94" s="575">
        <f>IFERROR(IF(VLOOKUP(I$2,MODULY_CBA!$B$3:$N$23,13,0)&lt;='TCO TO BE- SW'!$D94,SUM('TCO TO BE- SW'!I$6:I$15)*VLOOKUP('TCO TO BE- SW'!I$2,MODULY_CBA!$B$3:$L$23,11,0),0),0)</f>
        <v>0</v>
      </c>
      <c r="J94" s="575">
        <f>IFERROR(IF(VLOOKUP(J$2,MODULY_CBA!$B$3:$N$23,13,0)&lt;='TCO TO BE- SW'!$D94,SUM('TCO TO BE- SW'!J$6:J$15)*VLOOKUP('TCO TO BE- SW'!J$2,MODULY_CBA!$B$3:$L$23,11,0),0),0)</f>
        <v>0</v>
      </c>
      <c r="K94" s="575">
        <f>IFERROR(IF(VLOOKUP(K$2,MODULY_CBA!$B$3:$N$23,13,0)&lt;='TCO TO BE- SW'!$D94,SUM('TCO TO BE- SW'!K$6:K$15)*VLOOKUP('TCO TO BE- SW'!K$2,MODULY_CBA!$B$3:$L$23,11,0),0),0)</f>
        <v>0</v>
      </c>
      <c r="L94" s="575">
        <f>IFERROR(IF(VLOOKUP(L$2,MODULY_CBA!$B$3:$N$23,13,0)&lt;='TCO TO BE- SW'!$D94,SUM('TCO TO BE- SW'!L$6:L$15)*VLOOKUP('TCO TO BE- SW'!L$2,MODULY_CBA!$B$3:$L$23,11,0),0),0)</f>
        <v>0</v>
      </c>
      <c r="M94" s="575">
        <f>IFERROR(IF(VLOOKUP(M$2,MODULY_CBA!$B$3:$N$23,13,0)&lt;='TCO TO BE- SW'!$D94,SUM('TCO TO BE- SW'!M$6:M$15)*VLOOKUP('TCO TO BE- SW'!M$2,MODULY_CBA!$B$3:$L$23,11,0),0),0)</f>
        <v>0</v>
      </c>
      <c r="N94" s="575">
        <f>IFERROR(IF(VLOOKUP(N$2,MODULY_CBA!$B$3:$N$23,13,0)&lt;='TCO TO BE- SW'!$D94,SUM('TCO TO BE- SW'!N$6:N$15)*VLOOKUP('TCO TO BE- SW'!N$2,MODULY_CBA!$B$3:$L$23,11,0),0),0)</f>
        <v>0</v>
      </c>
      <c r="O94" s="575">
        <f>IFERROR(IF(VLOOKUP(O$2,MODULY_CBA!$B$3:$N$23,13,0)&lt;='TCO TO BE- SW'!$D94,SUM('TCO TO BE- SW'!O$6:O$15)*VLOOKUP('TCO TO BE- SW'!O$2,MODULY_CBA!$B$3:$L$23,11,0),0),0)</f>
        <v>0</v>
      </c>
      <c r="P94" s="575">
        <f>IFERROR(IF(VLOOKUP(P$2,MODULY_CBA!$B$3:$N$23,13,0)&lt;='TCO TO BE- SW'!$D94,SUM('TCO TO BE- SW'!P$6:P$15)*VLOOKUP('TCO TO BE- SW'!P$2,MODULY_CBA!$B$3:$L$23,11,0),0),0)</f>
        <v>0</v>
      </c>
      <c r="Q94" s="575">
        <f>IFERROR(IF(VLOOKUP(Q$2,MODULY_CBA!$B$3:$N$23,13,0)&lt;='TCO TO BE- SW'!$D94,SUM('TCO TO BE- SW'!Q$6:Q$15)*VLOOKUP('TCO TO BE- SW'!Q$2,MODULY_CBA!$B$3:$L$23,11,0),0),0)</f>
        <v>0</v>
      </c>
      <c r="R94" s="575">
        <f>IFERROR(IF(VLOOKUP(R$2,MODULY_CBA!$B$3:$N$23,13,0)&lt;='TCO TO BE- SW'!$D94,SUM('TCO TO BE- SW'!R$6:R$15)*VLOOKUP('TCO TO BE- SW'!R$2,MODULY_CBA!$B$3:$L$23,11,0),0),0)</f>
        <v>0</v>
      </c>
      <c r="S94" s="575">
        <f>IFERROR(IF(VLOOKUP(S$2,MODULY_CBA!$B$3:$N$23,13,0)&lt;='TCO TO BE- SW'!$D94,SUM('TCO TO BE- SW'!S$6:S$15)*VLOOKUP('TCO TO BE- SW'!S$2,MODULY_CBA!$B$3:$L$23,11,0),0),0)</f>
        <v>0</v>
      </c>
      <c r="T94" s="575">
        <f>IFERROR(IF(VLOOKUP(T$2,MODULY_CBA!$B$3:$N$23,13,0)&lt;='TCO TO BE- SW'!$D94,SUM('TCO TO BE- SW'!T$6:T$15)*VLOOKUP('TCO TO BE- SW'!T$2,MODULY_CBA!$B$3:$L$23,11,0),0),0)</f>
        <v>0</v>
      </c>
      <c r="U94" s="575">
        <f>IFERROR(IF(VLOOKUP(U$2,MODULY_CBA!$B$3:$N$23,13,0)&lt;='TCO TO BE- SW'!$D94,SUM('TCO TO BE- SW'!U$6:U$15)*VLOOKUP('TCO TO BE- SW'!U$2,MODULY_CBA!$B$3:$L$23,11,0),0),0)</f>
        <v>0</v>
      </c>
      <c r="V94" s="575">
        <f>IFERROR(IF(VLOOKUP(V$2,MODULY_CBA!$B$3:$N$23,13,0)&lt;='TCO TO BE- SW'!$D94,SUM('TCO TO BE- SW'!V$6:V$15)*VLOOKUP('TCO TO BE- SW'!V$2,MODULY_CBA!$B$3:$L$23,11,0),0),0)</f>
        <v>0</v>
      </c>
      <c r="W94" s="575">
        <f>IFERROR(IF(VLOOKUP(W$2,MODULY_CBA!$B$3:$N$23,13,0)&lt;='TCO TO BE- SW'!$D94,SUM('TCO TO BE- SW'!W$6:W$15)*VLOOKUP('TCO TO BE- SW'!W$2,MODULY_CBA!$B$3:$L$23,11,0),0),0)</f>
        <v>0</v>
      </c>
      <c r="X94" s="575">
        <f>IFERROR(IF(VLOOKUP(X$2,MODULY_CBA!$B$3:$N$23,13,0)&lt;='TCO TO BE- SW'!$D94,SUM('TCO TO BE- SW'!X$6:X$15)*VLOOKUP('TCO TO BE- SW'!X$2,MODULY_CBA!$B$3:$L$23,11,0),0),0)</f>
        <v>0</v>
      </c>
      <c r="Y94" s="575">
        <f>IFERROR(IF(VLOOKUP(Y$2,MODULY_CBA!$B$3:$N$23,13,0)&lt;='TCO TO BE- SW'!$D94,SUM('TCO TO BE- SW'!Y$6:Y$15)*VLOOKUP('TCO TO BE- SW'!Y$2,MODULY_CBA!$B$3:$L$23,11,0),0),0)</f>
        <v>0</v>
      </c>
      <c r="Z94" s="575">
        <f>IFERROR(IF(VLOOKUP(Z$2,MODULY_CBA!$B$3:$N$23,13,0)&lt;='TCO TO BE- SW'!$D94,SUM('TCO TO BE- SW'!Z$6:Z$15)*VLOOKUP('TCO TO BE- SW'!Z$2,MODULY_CBA!$B$3:$L$23,11,0),0),0)</f>
        <v>0</v>
      </c>
    </row>
    <row r="95" spans="1:26" outlineLevel="2">
      <c r="A95" s="807"/>
      <c r="B95" s="808"/>
      <c r="C95" s="808"/>
      <c r="D95" s="64">
        <v>7</v>
      </c>
      <c r="E95" s="61">
        <f t="shared" si="12"/>
        <v>528000</v>
      </c>
      <c r="F95" s="575">
        <f>IFERROR(IF(VLOOKUP(F$2,MODULY_CBA!$B$3:$N$23,13,0)&lt;='TCO TO BE- SW'!$D95,SUM('TCO TO BE- SW'!F$6:F$15)*VLOOKUP('TCO TO BE- SW'!F$2,MODULY_CBA!$B$3:$L$23,11,0),0),0)</f>
        <v>528000</v>
      </c>
      <c r="G95" s="575">
        <f>IFERROR(IF(VLOOKUP(G$2,MODULY_CBA!$B$3:$N$23,13,0)&lt;='TCO TO BE- SW'!$D95,SUM('TCO TO BE- SW'!G$6:G$15)*VLOOKUP('TCO TO BE- SW'!G$2,MODULY_CBA!$B$3:$L$23,11,0),0),0)</f>
        <v>0</v>
      </c>
      <c r="H95" s="575">
        <f>IFERROR(IF(VLOOKUP(H$2,MODULY_CBA!$B$3:$N$23,13,0)&lt;='TCO TO BE- SW'!$D95,SUM('TCO TO BE- SW'!H$6:H$15)*VLOOKUP('TCO TO BE- SW'!H$2,MODULY_CBA!$B$3:$L$23,11,0),0),0)</f>
        <v>0</v>
      </c>
      <c r="I95" s="575">
        <f>IFERROR(IF(VLOOKUP(I$2,MODULY_CBA!$B$3:$N$23,13,0)&lt;='TCO TO BE- SW'!$D95,SUM('TCO TO BE- SW'!I$6:I$15)*VLOOKUP('TCO TO BE- SW'!I$2,MODULY_CBA!$B$3:$L$23,11,0),0),0)</f>
        <v>0</v>
      </c>
      <c r="J95" s="575">
        <f>IFERROR(IF(VLOOKUP(J$2,MODULY_CBA!$B$3:$N$23,13,0)&lt;='TCO TO BE- SW'!$D95,SUM('TCO TO BE- SW'!J$6:J$15)*VLOOKUP('TCO TO BE- SW'!J$2,MODULY_CBA!$B$3:$L$23,11,0),0),0)</f>
        <v>0</v>
      </c>
      <c r="K95" s="575">
        <f>IFERROR(IF(VLOOKUP(K$2,MODULY_CBA!$B$3:$N$23,13,0)&lt;='TCO TO BE- SW'!$D95,SUM('TCO TO BE- SW'!K$6:K$15)*VLOOKUP('TCO TO BE- SW'!K$2,MODULY_CBA!$B$3:$L$23,11,0),0),0)</f>
        <v>0</v>
      </c>
      <c r="L95" s="575">
        <f>IFERROR(IF(VLOOKUP(L$2,MODULY_CBA!$B$3:$N$23,13,0)&lt;='TCO TO BE- SW'!$D95,SUM('TCO TO BE- SW'!L$6:L$15)*VLOOKUP('TCO TO BE- SW'!L$2,MODULY_CBA!$B$3:$L$23,11,0),0),0)</f>
        <v>0</v>
      </c>
      <c r="M95" s="575">
        <f>IFERROR(IF(VLOOKUP(M$2,MODULY_CBA!$B$3:$N$23,13,0)&lt;='TCO TO BE- SW'!$D95,SUM('TCO TO BE- SW'!M$6:M$15)*VLOOKUP('TCO TO BE- SW'!M$2,MODULY_CBA!$B$3:$L$23,11,0),0),0)</f>
        <v>0</v>
      </c>
      <c r="N95" s="575">
        <f>IFERROR(IF(VLOOKUP(N$2,MODULY_CBA!$B$3:$N$23,13,0)&lt;='TCO TO BE- SW'!$D95,SUM('TCO TO BE- SW'!N$6:N$15)*VLOOKUP('TCO TO BE- SW'!N$2,MODULY_CBA!$B$3:$L$23,11,0),0),0)</f>
        <v>0</v>
      </c>
      <c r="O95" s="575">
        <f>IFERROR(IF(VLOOKUP(O$2,MODULY_CBA!$B$3:$N$23,13,0)&lt;='TCO TO BE- SW'!$D95,SUM('TCO TO BE- SW'!O$6:O$15)*VLOOKUP('TCO TO BE- SW'!O$2,MODULY_CBA!$B$3:$L$23,11,0),0),0)</f>
        <v>0</v>
      </c>
      <c r="P95" s="575">
        <f>IFERROR(IF(VLOOKUP(P$2,MODULY_CBA!$B$3:$N$23,13,0)&lt;='TCO TO BE- SW'!$D95,SUM('TCO TO BE- SW'!P$6:P$15)*VLOOKUP('TCO TO BE- SW'!P$2,MODULY_CBA!$B$3:$L$23,11,0),0),0)</f>
        <v>0</v>
      </c>
      <c r="Q95" s="575">
        <f>IFERROR(IF(VLOOKUP(Q$2,MODULY_CBA!$B$3:$N$23,13,0)&lt;='TCO TO BE- SW'!$D95,SUM('TCO TO BE- SW'!Q$6:Q$15)*VLOOKUP('TCO TO BE- SW'!Q$2,MODULY_CBA!$B$3:$L$23,11,0),0),0)</f>
        <v>0</v>
      </c>
      <c r="R95" s="575">
        <f>IFERROR(IF(VLOOKUP(R$2,MODULY_CBA!$B$3:$N$23,13,0)&lt;='TCO TO BE- SW'!$D95,SUM('TCO TO BE- SW'!R$6:R$15)*VLOOKUP('TCO TO BE- SW'!R$2,MODULY_CBA!$B$3:$L$23,11,0),0),0)</f>
        <v>0</v>
      </c>
      <c r="S95" s="575">
        <f>IFERROR(IF(VLOOKUP(S$2,MODULY_CBA!$B$3:$N$23,13,0)&lt;='TCO TO BE- SW'!$D95,SUM('TCO TO BE- SW'!S$6:S$15)*VLOOKUP('TCO TO BE- SW'!S$2,MODULY_CBA!$B$3:$L$23,11,0),0),0)</f>
        <v>0</v>
      </c>
      <c r="T95" s="575">
        <f>IFERROR(IF(VLOOKUP(T$2,MODULY_CBA!$B$3:$N$23,13,0)&lt;='TCO TO BE- SW'!$D95,SUM('TCO TO BE- SW'!T$6:T$15)*VLOOKUP('TCO TO BE- SW'!T$2,MODULY_CBA!$B$3:$L$23,11,0),0),0)</f>
        <v>0</v>
      </c>
      <c r="U95" s="575">
        <f>IFERROR(IF(VLOOKUP(U$2,MODULY_CBA!$B$3:$N$23,13,0)&lt;='TCO TO BE- SW'!$D95,SUM('TCO TO BE- SW'!U$6:U$15)*VLOOKUP('TCO TO BE- SW'!U$2,MODULY_CBA!$B$3:$L$23,11,0),0),0)</f>
        <v>0</v>
      </c>
      <c r="V95" s="575">
        <f>IFERROR(IF(VLOOKUP(V$2,MODULY_CBA!$B$3:$N$23,13,0)&lt;='TCO TO BE- SW'!$D95,SUM('TCO TO BE- SW'!V$6:V$15)*VLOOKUP('TCO TO BE- SW'!V$2,MODULY_CBA!$B$3:$L$23,11,0),0),0)</f>
        <v>0</v>
      </c>
      <c r="W95" s="575">
        <f>IFERROR(IF(VLOOKUP(W$2,MODULY_CBA!$B$3:$N$23,13,0)&lt;='TCO TO BE- SW'!$D95,SUM('TCO TO BE- SW'!W$6:W$15)*VLOOKUP('TCO TO BE- SW'!W$2,MODULY_CBA!$B$3:$L$23,11,0),0),0)</f>
        <v>0</v>
      </c>
      <c r="X95" s="575">
        <f>IFERROR(IF(VLOOKUP(X$2,MODULY_CBA!$B$3:$N$23,13,0)&lt;='TCO TO BE- SW'!$D95,SUM('TCO TO BE- SW'!X$6:X$15)*VLOOKUP('TCO TO BE- SW'!X$2,MODULY_CBA!$B$3:$L$23,11,0),0),0)</f>
        <v>0</v>
      </c>
      <c r="Y95" s="575">
        <f>IFERROR(IF(VLOOKUP(Y$2,MODULY_CBA!$B$3:$N$23,13,0)&lt;='TCO TO BE- SW'!$D95,SUM('TCO TO BE- SW'!Y$6:Y$15)*VLOOKUP('TCO TO BE- SW'!Y$2,MODULY_CBA!$B$3:$L$23,11,0),0),0)</f>
        <v>0</v>
      </c>
      <c r="Z95" s="575">
        <f>IFERROR(IF(VLOOKUP(Z$2,MODULY_CBA!$B$3:$N$23,13,0)&lt;='TCO TO BE- SW'!$D95,SUM('TCO TO BE- SW'!Z$6:Z$15)*VLOOKUP('TCO TO BE- SW'!Z$2,MODULY_CBA!$B$3:$L$23,11,0),0),0)</f>
        <v>0</v>
      </c>
    </row>
    <row r="96" spans="1:26" outlineLevel="2">
      <c r="A96" s="807"/>
      <c r="B96" s="808"/>
      <c r="C96" s="808"/>
      <c r="D96" s="64">
        <v>8</v>
      </c>
      <c r="E96" s="61">
        <f t="shared" si="12"/>
        <v>528000</v>
      </c>
      <c r="F96" s="575">
        <f>IFERROR(IF(VLOOKUP(F$2,MODULY_CBA!$B$3:$N$23,13,0)&lt;='TCO TO BE- SW'!$D96,SUM('TCO TO BE- SW'!F$6:F$15)*VLOOKUP('TCO TO BE- SW'!F$2,MODULY_CBA!$B$3:$L$23,11,0),0),0)</f>
        <v>528000</v>
      </c>
      <c r="G96" s="575">
        <f>IFERROR(IF(VLOOKUP(G$2,MODULY_CBA!$B$3:$N$23,13,0)&lt;='TCO TO BE- SW'!$D96,SUM('TCO TO BE- SW'!G$6:G$15)*VLOOKUP('TCO TO BE- SW'!G$2,MODULY_CBA!$B$3:$L$23,11,0),0),0)</f>
        <v>0</v>
      </c>
      <c r="H96" s="575">
        <f>IFERROR(IF(VLOOKUP(H$2,MODULY_CBA!$B$3:$N$23,13,0)&lt;='TCO TO BE- SW'!$D96,SUM('TCO TO BE- SW'!H$6:H$15)*VLOOKUP('TCO TO BE- SW'!H$2,MODULY_CBA!$B$3:$L$23,11,0),0),0)</f>
        <v>0</v>
      </c>
      <c r="I96" s="575">
        <f>IFERROR(IF(VLOOKUP(I$2,MODULY_CBA!$B$3:$N$23,13,0)&lt;='TCO TO BE- SW'!$D96,SUM('TCO TO BE- SW'!I$6:I$15)*VLOOKUP('TCO TO BE- SW'!I$2,MODULY_CBA!$B$3:$L$23,11,0),0),0)</f>
        <v>0</v>
      </c>
      <c r="J96" s="575">
        <f>IFERROR(IF(VLOOKUP(J$2,MODULY_CBA!$B$3:$N$23,13,0)&lt;='TCO TO BE- SW'!$D96,SUM('TCO TO BE- SW'!J$6:J$15)*VLOOKUP('TCO TO BE- SW'!J$2,MODULY_CBA!$B$3:$L$23,11,0),0),0)</f>
        <v>0</v>
      </c>
      <c r="K96" s="575">
        <f>IFERROR(IF(VLOOKUP(K$2,MODULY_CBA!$B$3:$N$23,13,0)&lt;='TCO TO BE- SW'!$D96,SUM('TCO TO BE- SW'!K$6:K$15)*VLOOKUP('TCO TO BE- SW'!K$2,MODULY_CBA!$B$3:$L$23,11,0),0),0)</f>
        <v>0</v>
      </c>
      <c r="L96" s="575">
        <f>IFERROR(IF(VLOOKUP(L$2,MODULY_CBA!$B$3:$N$23,13,0)&lt;='TCO TO BE- SW'!$D96,SUM('TCO TO BE- SW'!L$6:L$15)*VLOOKUP('TCO TO BE- SW'!L$2,MODULY_CBA!$B$3:$L$23,11,0),0),0)</f>
        <v>0</v>
      </c>
      <c r="M96" s="575">
        <f>IFERROR(IF(VLOOKUP(M$2,MODULY_CBA!$B$3:$N$23,13,0)&lt;='TCO TO BE- SW'!$D96,SUM('TCO TO BE- SW'!M$6:M$15)*VLOOKUP('TCO TO BE- SW'!M$2,MODULY_CBA!$B$3:$L$23,11,0),0),0)</f>
        <v>0</v>
      </c>
      <c r="N96" s="575">
        <f>IFERROR(IF(VLOOKUP(N$2,MODULY_CBA!$B$3:$N$23,13,0)&lt;='TCO TO BE- SW'!$D96,SUM('TCO TO BE- SW'!N$6:N$15)*VLOOKUP('TCO TO BE- SW'!N$2,MODULY_CBA!$B$3:$L$23,11,0),0),0)</f>
        <v>0</v>
      </c>
      <c r="O96" s="575">
        <f>IFERROR(IF(VLOOKUP(O$2,MODULY_CBA!$B$3:$N$23,13,0)&lt;='TCO TO BE- SW'!$D96,SUM('TCO TO BE- SW'!O$6:O$15)*VLOOKUP('TCO TO BE- SW'!O$2,MODULY_CBA!$B$3:$L$23,11,0),0),0)</f>
        <v>0</v>
      </c>
      <c r="P96" s="575">
        <f>IFERROR(IF(VLOOKUP(P$2,MODULY_CBA!$B$3:$N$23,13,0)&lt;='TCO TO BE- SW'!$D96,SUM('TCO TO BE- SW'!P$6:P$15)*VLOOKUP('TCO TO BE- SW'!P$2,MODULY_CBA!$B$3:$L$23,11,0),0),0)</f>
        <v>0</v>
      </c>
      <c r="Q96" s="575">
        <f>IFERROR(IF(VLOOKUP(Q$2,MODULY_CBA!$B$3:$N$23,13,0)&lt;='TCO TO BE- SW'!$D96,SUM('TCO TO BE- SW'!Q$6:Q$15)*VLOOKUP('TCO TO BE- SW'!Q$2,MODULY_CBA!$B$3:$L$23,11,0),0),0)</f>
        <v>0</v>
      </c>
      <c r="R96" s="575">
        <f>IFERROR(IF(VLOOKUP(R$2,MODULY_CBA!$B$3:$N$23,13,0)&lt;='TCO TO BE- SW'!$D96,SUM('TCO TO BE- SW'!R$6:R$15)*VLOOKUP('TCO TO BE- SW'!R$2,MODULY_CBA!$B$3:$L$23,11,0),0),0)</f>
        <v>0</v>
      </c>
      <c r="S96" s="575">
        <f>IFERROR(IF(VLOOKUP(S$2,MODULY_CBA!$B$3:$N$23,13,0)&lt;='TCO TO BE- SW'!$D96,SUM('TCO TO BE- SW'!S$6:S$15)*VLOOKUP('TCO TO BE- SW'!S$2,MODULY_CBA!$B$3:$L$23,11,0),0),0)</f>
        <v>0</v>
      </c>
      <c r="T96" s="575">
        <f>IFERROR(IF(VLOOKUP(T$2,MODULY_CBA!$B$3:$N$23,13,0)&lt;='TCO TO BE- SW'!$D96,SUM('TCO TO BE- SW'!T$6:T$15)*VLOOKUP('TCO TO BE- SW'!T$2,MODULY_CBA!$B$3:$L$23,11,0),0),0)</f>
        <v>0</v>
      </c>
      <c r="U96" s="575">
        <f>IFERROR(IF(VLOOKUP(U$2,MODULY_CBA!$B$3:$N$23,13,0)&lt;='TCO TO BE- SW'!$D96,SUM('TCO TO BE- SW'!U$6:U$15)*VLOOKUP('TCO TO BE- SW'!U$2,MODULY_CBA!$B$3:$L$23,11,0),0),0)</f>
        <v>0</v>
      </c>
      <c r="V96" s="575">
        <f>IFERROR(IF(VLOOKUP(V$2,MODULY_CBA!$B$3:$N$23,13,0)&lt;='TCO TO BE- SW'!$D96,SUM('TCO TO BE- SW'!V$6:V$15)*VLOOKUP('TCO TO BE- SW'!V$2,MODULY_CBA!$B$3:$L$23,11,0),0),0)</f>
        <v>0</v>
      </c>
      <c r="W96" s="575">
        <f>IFERROR(IF(VLOOKUP(W$2,MODULY_CBA!$B$3:$N$23,13,0)&lt;='TCO TO BE- SW'!$D96,SUM('TCO TO BE- SW'!W$6:W$15)*VLOOKUP('TCO TO BE- SW'!W$2,MODULY_CBA!$B$3:$L$23,11,0),0),0)</f>
        <v>0</v>
      </c>
      <c r="X96" s="575">
        <f>IFERROR(IF(VLOOKUP(X$2,MODULY_CBA!$B$3:$N$23,13,0)&lt;='TCO TO BE- SW'!$D96,SUM('TCO TO BE- SW'!X$6:X$15)*VLOOKUP('TCO TO BE- SW'!X$2,MODULY_CBA!$B$3:$L$23,11,0),0),0)</f>
        <v>0</v>
      </c>
      <c r="Y96" s="575">
        <f>IFERROR(IF(VLOOKUP(Y$2,MODULY_CBA!$B$3:$N$23,13,0)&lt;='TCO TO BE- SW'!$D96,SUM('TCO TO BE- SW'!Y$6:Y$15)*VLOOKUP('TCO TO BE- SW'!Y$2,MODULY_CBA!$B$3:$L$23,11,0),0),0)</f>
        <v>0</v>
      </c>
      <c r="Z96" s="575">
        <f>IFERROR(IF(VLOOKUP(Z$2,MODULY_CBA!$B$3:$N$23,13,0)&lt;='TCO TO BE- SW'!$D96,SUM('TCO TO BE- SW'!Z$6:Z$15)*VLOOKUP('TCO TO BE- SW'!Z$2,MODULY_CBA!$B$3:$L$23,11,0),0),0)</f>
        <v>0</v>
      </c>
    </row>
    <row r="97" spans="1:26" outlineLevel="2">
      <c r="A97" s="807"/>
      <c r="B97" s="808"/>
      <c r="C97" s="808"/>
      <c r="D97" s="64">
        <v>9</v>
      </c>
      <c r="E97" s="61">
        <f t="shared" si="12"/>
        <v>528000</v>
      </c>
      <c r="F97" s="575">
        <f>IFERROR(IF(VLOOKUP(F$2,MODULY_CBA!$B$3:$N$23,13,0)&lt;='TCO TO BE- SW'!$D97,SUM('TCO TO BE- SW'!F$6:F$15)*VLOOKUP('TCO TO BE- SW'!F$2,MODULY_CBA!$B$3:$L$23,11,0),0),0)</f>
        <v>528000</v>
      </c>
      <c r="G97" s="575">
        <f>IFERROR(IF(VLOOKUP(G$2,MODULY_CBA!$B$3:$N$23,13,0)&lt;='TCO TO BE- SW'!$D97,SUM('TCO TO BE- SW'!G$6:G$15)*VLOOKUP('TCO TO BE- SW'!G$2,MODULY_CBA!$B$3:$L$23,11,0),0),0)</f>
        <v>0</v>
      </c>
      <c r="H97" s="575">
        <f>IFERROR(IF(VLOOKUP(H$2,MODULY_CBA!$B$3:$N$23,13,0)&lt;='TCO TO BE- SW'!$D97,SUM('TCO TO BE- SW'!H$6:H$15)*VLOOKUP('TCO TO BE- SW'!H$2,MODULY_CBA!$B$3:$L$23,11,0),0),0)</f>
        <v>0</v>
      </c>
      <c r="I97" s="575">
        <f>IFERROR(IF(VLOOKUP(I$2,MODULY_CBA!$B$3:$N$23,13,0)&lt;='TCO TO BE- SW'!$D97,SUM('TCO TO BE- SW'!I$6:I$15)*VLOOKUP('TCO TO BE- SW'!I$2,MODULY_CBA!$B$3:$L$23,11,0),0),0)</f>
        <v>0</v>
      </c>
      <c r="J97" s="575">
        <f>IFERROR(IF(VLOOKUP(J$2,MODULY_CBA!$B$3:$N$23,13,0)&lt;='TCO TO BE- SW'!$D97,SUM('TCO TO BE- SW'!J$6:J$15)*VLOOKUP('TCO TO BE- SW'!J$2,MODULY_CBA!$B$3:$L$23,11,0),0),0)</f>
        <v>0</v>
      </c>
      <c r="K97" s="575">
        <f>IFERROR(IF(VLOOKUP(K$2,MODULY_CBA!$B$3:$N$23,13,0)&lt;='TCO TO BE- SW'!$D97,SUM('TCO TO BE- SW'!K$6:K$15)*VLOOKUP('TCO TO BE- SW'!K$2,MODULY_CBA!$B$3:$L$23,11,0),0),0)</f>
        <v>0</v>
      </c>
      <c r="L97" s="575">
        <f>IFERROR(IF(VLOOKUP(L$2,MODULY_CBA!$B$3:$N$23,13,0)&lt;='TCO TO BE- SW'!$D97,SUM('TCO TO BE- SW'!L$6:L$15)*VLOOKUP('TCO TO BE- SW'!L$2,MODULY_CBA!$B$3:$L$23,11,0),0),0)</f>
        <v>0</v>
      </c>
      <c r="M97" s="575">
        <f>IFERROR(IF(VLOOKUP(M$2,MODULY_CBA!$B$3:$N$23,13,0)&lt;='TCO TO BE- SW'!$D97,SUM('TCO TO BE- SW'!M$6:M$15)*VLOOKUP('TCO TO BE- SW'!M$2,MODULY_CBA!$B$3:$L$23,11,0),0),0)</f>
        <v>0</v>
      </c>
      <c r="N97" s="575">
        <f>IFERROR(IF(VLOOKUP(N$2,MODULY_CBA!$B$3:$N$23,13,0)&lt;='TCO TO BE- SW'!$D97,SUM('TCO TO BE- SW'!N$6:N$15)*VLOOKUP('TCO TO BE- SW'!N$2,MODULY_CBA!$B$3:$L$23,11,0),0),0)</f>
        <v>0</v>
      </c>
      <c r="O97" s="575">
        <f>IFERROR(IF(VLOOKUP(O$2,MODULY_CBA!$B$3:$N$23,13,0)&lt;='TCO TO BE- SW'!$D97,SUM('TCO TO BE- SW'!O$6:O$15)*VLOOKUP('TCO TO BE- SW'!O$2,MODULY_CBA!$B$3:$L$23,11,0),0),0)</f>
        <v>0</v>
      </c>
      <c r="P97" s="575">
        <f>IFERROR(IF(VLOOKUP(P$2,MODULY_CBA!$B$3:$N$23,13,0)&lt;='TCO TO BE- SW'!$D97,SUM('TCO TO BE- SW'!P$6:P$15)*VLOOKUP('TCO TO BE- SW'!P$2,MODULY_CBA!$B$3:$L$23,11,0),0),0)</f>
        <v>0</v>
      </c>
      <c r="Q97" s="575">
        <f>IFERROR(IF(VLOOKUP(Q$2,MODULY_CBA!$B$3:$N$23,13,0)&lt;='TCO TO BE- SW'!$D97,SUM('TCO TO BE- SW'!Q$6:Q$15)*VLOOKUP('TCO TO BE- SW'!Q$2,MODULY_CBA!$B$3:$L$23,11,0),0),0)</f>
        <v>0</v>
      </c>
      <c r="R97" s="575">
        <f>IFERROR(IF(VLOOKUP(R$2,MODULY_CBA!$B$3:$N$23,13,0)&lt;='TCO TO BE- SW'!$D97,SUM('TCO TO BE- SW'!R$6:R$15)*VLOOKUP('TCO TO BE- SW'!R$2,MODULY_CBA!$B$3:$L$23,11,0),0),0)</f>
        <v>0</v>
      </c>
      <c r="S97" s="575">
        <f>IFERROR(IF(VLOOKUP(S$2,MODULY_CBA!$B$3:$N$23,13,0)&lt;='TCO TO BE- SW'!$D97,SUM('TCO TO BE- SW'!S$6:S$15)*VLOOKUP('TCO TO BE- SW'!S$2,MODULY_CBA!$B$3:$L$23,11,0),0),0)</f>
        <v>0</v>
      </c>
      <c r="T97" s="575">
        <f>IFERROR(IF(VLOOKUP(T$2,MODULY_CBA!$B$3:$N$23,13,0)&lt;='TCO TO BE- SW'!$D97,SUM('TCO TO BE- SW'!T$6:T$15)*VLOOKUP('TCO TO BE- SW'!T$2,MODULY_CBA!$B$3:$L$23,11,0),0),0)</f>
        <v>0</v>
      </c>
      <c r="U97" s="575">
        <f>IFERROR(IF(VLOOKUP(U$2,MODULY_CBA!$B$3:$N$23,13,0)&lt;='TCO TO BE- SW'!$D97,SUM('TCO TO BE- SW'!U$6:U$15)*VLOOKUP('TCO TO BE- SW'!U$2,MODULY_CBA!$B$3:$L$23,11,0),0),0)</f>
        <v>0</v>
      </c>
      <c r="V97" s="575">
        <f>IFERROR(IF(VLOOKUP(V$2,MODULY_CBA!$B$3:$N$23,13,0)&lt;='TCO TO BE- SW'!$D97,SUM('TCO TO BE- SW'!V$6:V$15)*VLOOKUP('TCO TO BE- SW'!V$2,MODULY_CBA!$B$3:$L$23,11,0),0),0)</f>
        <v>0</v>
      </c>
      <c r="W97" s="575">
        <f>IFERROR(IF(VLOOKUP(W$2,MODULY_CBA!$B$3:$N$23,13,0)&lt;='TCO TO BE- SW'!$D97,SUM('TCO TO BE- SW'!W$6:W$15)*VLOOKUP('TCO TO BE- SW'!W$2,MODULY_CBA!$B$3:$L$23,11,0),0),0)</f>
        <v>0</v>
      </c>
      <c r="X97" s="575">
        <f>IFERROR(IF(VLOOKUP(X$2,MODULY_CBA!$B$3:$N$23,13,0)&lt;='TCO TO BE- SW'!$D97,SUM('TCO TO BE- SW'!X$6:X$15)*VLOOKUP('TCO TO BE- SW'!X$2,MODULY_CBA!$B$3:$L$23,11,0),0),0)</f>
        <v>0</v>
      </c>
      <c r="Y97" s="575">
        <f>IFERROR(IF(VLOOKUP(Y$2,MODULY_CBA!$B$3:$N$23,13,0)&lt;='TCO TO BE- SW'!$D97,SUM('TCO TO BE- SW'!Y$6:Y$15)*VLOOKUP('TCO TO BE- SW'!Y$2,MODULY_CBA!$B$3:$L$23,11,0),0),0)</f>
        <v>0</v>
      </c>
      <c r="Z97" s="575">
        <f>IFERROR(IF(VLOOKUP(Z$2,MODULY_CBA!$B$3:$N$23,13,0)&lt;='TCO TO BE- SW'!$D97,SUM('TCO TO BE- SW'!Z$6:Z$15)*VLOOKUP('TCO TO BE- SW'!Z$2,MODULY_CBA!$B$3:$L$23,11,0),0),0)</f>
        <v>0</v>
      </c>
    </row>
    <row r="98" spans="1:26" ht="15.75" outlineLevel="2" thickBot="1">
      <c r="A98" s="807"/>
      <c r="B98" s="808"/>
      <c r="C98" s="808"/>
      <c r="D98" s="65">
        <v>10</v>
      </c>
      <c r="E98" s="61">
        <f t="shared" si="12"/>
        <v>528000</v>
      </c>
      <c r="F98" s="577">
        <f>IFERROR(IF(VLOOKUP(F$2,MODULY_CBA!$B$3:$N$23,13,0)&lt;='TCO TO BE- SW'!$D98,SUM('TCO TO BE- SW'!F$6:F$15)*VLOOKUP('TCO TO BE- SW'!F$2,MODULY_CBA!$B$3:$L$23,11,0),0),0)</f>
        <v>528000</v>
      </c>
      <c r="G98" s="577">
        <f>IFERROR(IF(VLOOKUP(G$2,MODULY_CBA!$B$3:$N$23,13,0)&lt;='TCO TO BE- SW'!$D98,SUM('TCO TO BE- SW'!G$6:G$15)*VLOOKUP('TCO TO BE- SW'!G$2,MODULY_CBA!$B$3:$L$23,11,0),0),0)</f>
        <v>0</v>
      </c>
      <c r="H98" s="577">
        <f>IFERROR(IF(VLOOKUP(H$2,MODULY_CBA!$B$3:$N$23,13,0)&lt;='TCO TO BE- SW'!$D98,SUM('TCO TO BE- SW'!H$6:H$15)*VLOOKUP('TCO TO BE- SW'!H$2,MODULY_CBA!$B$3:$L$23,11,0),0),0)</f>
        <v>0</v>
      </c>
      <c r="I98" s="577">
        <f>IFERROR(IF(VLOOKUP(I$2,MODULY_CBA!$B$3:$N$23,13,0)&lt;='TCO TO BE- SW'!$D98,SUM('TCO TO BE- SW'!I$6:I$15)*VLOOKUP('TCO TO BE- SW'!I$2,MODULY_CBA!$B$3:$L$23,11,0),0),0)</f>
        <v>0</v>
      </c>
      <c r="J98" s="577">
        <f>IFERROR(IF(VLOOKUP(J$2,MODULY_CBA!$B$3:$N$23,13,0)&lt;='TCO TO BE- SW'!$D98,SUM('TCO TO BE- SW'!J$6:J$15)*VLOOKUP('TCO TO BE- SW'!J$2,MODULY_CBA!$B$3:$L$23,11,0),0),0)</f>
        <v>0</v>
      </c>
      <c r="K98" s="577">
        <f>IFERROR(IF(VLOOKUP(K$2,MODULY_CBA!$B$3:$N$23,13,0)&lt;='TCO TO BE- SW'!$D98,SUM('TCO TO BE- SW'!K$6:K$15)*VLOOKUP('TCO TO BE- SW'!K$2,MODULY_CBA!$B$3:$L$23,11,0),0),0)</f>
        <v>0</v>
      </c>
      <c r="L98" s="577">
        <f>IFERROR(IF(VLOOKUP(L$2,MODULY_CBA!$B$3:$N$23,13,0)&lt;='TCO TO BE- SW'!$D98,SUM('TCO TO BE- SW'!L$6:L$15)*VLOOKUP('TCO TO BE- SW'!L$2,MODULY_CBA!$B$3:$L$23,11,0),0),0)</f>
        <v>0</v>
      </c>
      <c r="M98" s="577">
        <f>IFERROR(IF(VLOOKUP(M$2,MODULY_CBA!$B$3:$N$23,13,0)&lt;='TCO TO BE- SW'!$D98,SUM('TCO TO BE- SW'!M$6:M$15)*VLOOKUP('TCO TO BE- SW'!M$2,MODULY_CBA!$B$3:$L$23,11,0),0),0)</f>
        <v>0</v>
      </c>
      <c r="N98" s="577">
        <f>IFERROR(IF(VLOOKUP(N$2,MODULY_CBA!$B$3:$N$23,13,0)&lt;='TCO TO BE- SW'!$D98,SUM('TCO TO BE- SW'!N$6:N$15)*VLOOKUP('TCO TO BE- SW'!N$2,MODULY_CBA!$B$3:$L$23,11,0),0),0)</f>
        <v>0</v>
      </c>
      <c r="O98" s="577">
        <f>IFERROR(IF(VLOOKUP(O$2,MODULY_CBA!$B$3:$N$23,13,0)&lt;='TCO TO BE- SW'!$D98,SUM('TCO TO BE- SW'!O$6:O$15)*VLOOKUP('TCO TO BE- SW'!O$2,MODULY_CBA!$B$3:$L$23,11,0),0),0)</f>
        <v>0</v>
      </c>
      <c r="P98" s="577">
        <f>IFERROR(IF(VLOOKUP(P$2,MODULY_CBA!$B$3:$N$23,13,0)&lt;='TCO TO BE- SW'!$D98,SUM('TCO TO BE- SW'!P$6:P$15)*VLOOKUP('TCO TO BE- SW'!P$2,MODULY_CBA!$B$3:$L$23,11,0),0),0)</f>
        <v>0</v>
      </c>
      <c r="Q98" s="577">
        <f>IFERROR(IF(VLOOKUP(Q$2,MODULY_CBA!$B$3:$N$23,13,0)&lt;='TCO TO BE- SW'!$D98,SUM('TCO TO BE- SW'!Q$6:Q$15)*VLOOKUP('TCO TO BE- SW'!Q$2,MODULY_CBA!$B$3:$L$23,11,0),0),0)</f>
        <v>0</v>
      </c>
      <c r="R98" s="577">
        <f>IFERROR(IF(VLOOKUP(R$2,MODULY_CBA!$B$3:$N$23,13,0)&lt;='TCO TO BE- SW'!$D98,SUM('TCO TO BE- SW'!R$6:R$15)*VLOOKUP('TCO TO BE- SW'!R$2,MODULY_CBA!$B$3:$L$23,11,0),0),0)</f>
        <v>0</v>
      </c>
      <c r="S98" s="577">
        <f>IFERROR(IF(VLOOKUP(S$2,MODULY_CBA!$B$3:$N$23,13,0)&lt;='TCO TO BE- SW'!$D98,SUM('TCO TO BE- SW'!S$6:S$15)*VLOOKUP('TCO TO BE- SW'!S$2,MODULY_CBA!$B$3:$L$23,11,0),0),0)</f>
        <v>0</v>
      </c>
      <c r="T98" s="577">
        <f>IFERROR(IF(VLOOKUP(T$2,MODULY_CBA!$B$3:$N$23,13,0)&lt;='TCO TO BE- SW'!$D98,SUM('TCO TO BE- SW'!T$6:T$15)*VLOOKUP('TCO TO BE- SW'!T$2,MODULY_CBA!$B$3:$L$23,11,0),0),0)</f>
        <v>0</v>
      </c>
      <c r="U98" s="577">
        <f>IFERROR(IF(VLOOKUP(U$2,MODULY_CBA!$B$3:$N$23,13,0)&lt;='TCO TO BE- SW'!$D98,SUM('TCO TO BE- SW'!U$6:U$15)*VLOOKUP('TCO TO BE- SW'!U$2,MODULY_CBA!$B$3:$L$23,11,0),0),0)</f>
        <v>0</v>
      </c>
      <c r="V98" s="577">
        <f>IFERROR(IF(VLOOKUP(V$2,MODULY_CBA!$B$3:$N$23,13,0)&lt;='TCO TO BE- SW'!$D98,SUM('TCO TO BE- SW'!V$6:V$15)*VLOOKUP('TCO TO BE- SW'!V$2,MODULY_CBA!$B$3:$L$23,11,0),0),0)</f>
        <v>0</v>
      </c>
      <c r="W98" s="577">
        <f>IFERROR(IF(VLOOKUP(W$2,MODULY_CBA!$B$3:$N$23,13,0)&lt;='TCO TO BE- SW'!$D98,SUM('TCO TO BE- SW'!W$6:W$15)*VLOOKUP('TCO TO BE- SW'!W$2,MODULY_CBA!$B$3:$L$23,11,0),0),0)</f>
        <v>0</v>
      </c>
      <c r="X98" s="577">
        <f>IFERROR(IF(VLOOKUP(X$2,MODULY_CBA!$B$3:$N$23,13,0)&lt;='TCO TO BE- SW'!$D98,SUM('TCO TO BE- SW'!X$6:X$15)*VLOOKUP('TCO TO BE- SW'!X$2,MODULY_CBA!$B$3:$L$23,11,0),0),0)</f>
        <v>0</v>
      </c>
      <c r="Y98" s="577">
        <f>IFERROR(IF(VLOOKUP(Y$2,MODULY_CBA!$B$3:$N$23,13,0)&lt;='TCO TO BE- SW'!$D98,SUM('TCO TO BE- SW'!Y$6:Y$15)*VLOOKUP('TCO TO BE- SW'!Y$2,MODULY_CBA!$B$3:$L$23,11,0),0),0)</f>
        <v>0</v>
      </c>
      <c r="Z98" s="577">
        <f>IFERROR(IF(VLOOKUP(Z$2,MODULY_CBA!$B$3:$N$23,13,0)&lt;='TCO TO BE- SW'!$D98,SUM('TCO TO BE- SW'!Z$6:Z$15)*VLOOKUP('TCO TO BE- SW'!Z$2,MODULY_CBA!$B$3:$L$23,11,0),0),0)</f>
        <v>0</v>
      </c>
    </row>
    <row r="99" spans="1:26" ht="15.75" outlineLevel="1" thickBot="1">
      <c r="A99" s="17" t="s">
        <v>106</v>
      </c>
      <c r="B99" s="17"/>
      <c r="C99" s="17"/>
      <c r="D99" s="27"/>
      <c r="E99" s="441">
        <f t="shared" ref="E99:Z99" si="13">SUM(E100:E149)</f>
        <v>9368325.7826833092</v>
      </c>
      <c r="F99" s="442">
        <f t="shared" si="13"/>
        <v>1356166.7766635234</v>
      </c>
      <c r="G99" s="442">
        <f t="shared" si="13"/>
        <v>293526.50782580371</v>
      </c>
      <c r="H99" s="442">
        <f t="shared" si="13"/>
        <v>403506.0601250921</v>
      </c>
      <c r="I99" s="442">
        <f t="shared" si="13"/>
        <v>521659.76833851682</v>
      </c>
      <c r="J99" s="442">
        <f t="shared" si="13"/>
        <v>137474.44037411056</v>
      </c>
      <c r="K99" s="442">
        <f t="shared" si="13"/>
        <v>301700.66373993998</v>
      </c>
      <c r="L99" s="442">
        <f t="shared" si="13"/>
        <v>631639.32063780527</v>
      </c>
      <c r="M99" s="442">
        <f t="shared" si="13"/>
        <v>740875.76785399055</v>
      </c>
      <c r="N99" s="442">
        <f t="shared" si="13"/>
        <v>329195.55181476212</v>
      </c>
      <c r="O99" s="442">
        <f t="shared" si="13"/>
        <v>494164.88026369479</v>
      </c>
      <c r="P99" s="442">
        <f t="shared" si="13"/>
        <v>384185.32796440629</v>
      </c>
      <c r="Q99" s="442">
        <f t="shared" si="13"/>
        <v>274205.77566511789</v>
      </c>
      <c r="R99" s="442">
        <f t="shared" si="13"/>
        <v>342757.21958139737</v>
      </c>
      <c r="S99" s="442">
        <f t="shared" si="13"/>
        <v>514600.27004903543</v>
      </c>
      <c r="T99" s="442">
        <f t="shared" si="13"/>
        <v>583337.49023609085</v>
      </c>
      <c r="U99" s="442">
        <f t="shared" si="13"/>
        <v>548968.88014256302</v>
      </c>
      <c r="V99" s="442">
        <f t="shared" si="13"/>
        <v>274948.88074822107</v>
      </c>
      <c r="W99" s="442">
        <f t="shared" si="13"/>
        <v>480231.65995550784</v>
      </c>
      <c r="X99" s="442">
        <f t="shared" si="13"/>
        <v>548968.88014256302</v>
      </c>
      <c r="Y99" s="442">
        <f t="shared" si="13"/>
        <v>206211.6605611658</v>
      </c>
      <c r="Z99" s="442">
        <f t="shared" si="13"/>
        <v>0</v>
      </c>
    </row>
    <row r="100" spans="1:26" outlineLevel="2">
      <c r="A100" s="807" t="s">
        <v>83</v>
      </c>
      <c r="B100" s="808" t="s">
        <v>81</v>
      </c>
      <c r="C100" s="808">
        <v>635009</v>
      </c>
      <c r="D100" s="63">
        <v>1</v>
      </c>
      <c r="E100" s="67">
        <f t="shared" ref="E100:E149" si="14">SUM(F100:Z100)</f>
        <v>102941.9100416631</v>
      </c>
      <c r="F100" s="577">
        <f>IFERROR(IF(VLOOKUP(F$2,MODULY_CBA!$B$3:$N$23,13,0)&lt;='TCO TO BE- SW'!$D100,SUM('TCO TO BE- SW'!F$37:F$46)*VLOOKUP('TCO TO BE- SW'!F$2,MODULY_CBA!$B$3:$L$23,10,0),0),0)</f>
        <v>0</v>
      </c>
      <c r="G100" s="577">
        <f>IFERROR(IF(VLOOKUP(G$2,MODULY_CBA!$B$3:$N$23,13,0)&lt;='TCO TO BE- SW'!$D100,SUM('TCO TO BE- SW'!G$37:G$46)*VLOOKUP('TCO TO BE- SW'!G$2,MODULY_CBA!$B$3:$L$23,10,0),0),0)</f>
        <v>0</v>
      </c>
      <c r="H100" s="577">
        <f>IFERROR(IF(VLOOKUP(H$2,MODULY_CBA!$B$3:$N$23,13,0)&lt;='TCO TO BE- SW'!$D100,SUM('TCO TO BE- SW'!H$37:H$46)*VLOOKUP('TCO TO BE- SW'!H$2,MODULY_CBA!$B$3:$L$23,10,0),0),0)</f>
        <v>0</v>
      </c>
      <c r="I100" s="577">
        <f>IFERROR(IF(VLOOKUP(I$2,MODULY_CBA!$B$3:$N$23,13,0)&lt;='TCO TO BE- SW'!$D100,SUM('TCO TO BE- SW'!I$37:I$46)*VLOOKUP('TCO TO BE- SW'!I$2,MODULY_CBA!$B$3:$L$23,10,0),0),0)</f>
        <v>0</v>
      </c>
      <c r="J100" s="577">
        <f>IFERROR(IF(VLOOKUP(J$2,MODULY_CBA!$B$3:$N$23,13,0)&lt;='TCO TO BE- SW'!$D100,SUM('TCO TO BE- SW'!J$37:J$46)*VLOOKUP('TCO TO BE- SW'!J$2,MODULY_CBA!$B$3:$L$23,10,0),0),0)</f>
        <v>0</v>
      </c>
      <c r="K100" s="577">
        <f>IFERROR(IF(VLOOKUP(K$2,MODULY_CBA!$B$3:$N$23,13,0)&lt;='TCO TO BE- SW'!$D100,SUM('TCO TO BE- SW'!K$37:K$46)*VLOOKUP('TCO TO BE- SW'!K$2,MODULY_CBA!$B$3:$L$23,10,0),0),0)</f>
        <v>0</v>
      </c>
      <c r="L100" s="577">
        <f>IFERROR(IF(VLOOKUP(L$2,MODULY_CBA!$B$3:$N$23,13,0)&lt;='TCO TO BE- SW'!$D100,SUM('TCO TO BE- SW'!L$37:L$46)*VLOOKUP('TCO TO BE- SW'!L$2,MODULY_CBA!$B$3:$L$23,10,0),0),0)</f>
        <v>0</v>
      </c>
      <c r="M100" s="577">
        <f>IFERROR(IF(VLOOKUP(M$2,MODULY_CBA!$B$3:$N$23,13,0)&lt;='TCO TO BE- SW'!$D100,SUM('TCO TO BE- SW'!M$37:M$46)*VLOOKUP('TCO TO BE- SW'!M$2,MODULY_CBA!$B$3:$L$23,10,0),0),0)</f>
        <v>0</v>
      </c>
      <c r="N100" s="577">
        <f>IFERROR(IF(VLOOKUP(N$2,MODULY_CBA!$B$3:$N$23,13,0)&lt;='TCO TO BE- SW'!$D100,SUM('TCO TO BE- SW'!N$37:N$46)*VLOOKUP('TCO TO BE- SW'!N$2,MODULY_CBA!$B$3:$L$23,10,0),0),0)</f>
        <v>0</v>
      </c>
      <c r="O100" s="577">
        <f>IFERROR(IF(VLOOKUP(O$2,MODULY_CBA!$B$3:$N$23,13,0)&lt;='TCO TO BE- SW'!$D100,SUM('TCO TO BE- SW'!O$37:O$46)*VLOOKUP('TCO TO BE- SW'!O$2,MODULY_CBA!$B$3:$L$23,10,0),0),0)</f>
        <v>0</v>
      </c>
      <c r="P100" s="577">
        <f>IFERROR(IF(VLOOKUP(P$2,MODULY_CBA!$B$3:$N$23,13,0)&lt;='TCO TO BE- SW'!$D100,SUM('TCO TO BE- SW'!P$37:P$46)*VLOOKUP('TCO TO BE- SW'!P$2,MODULY_CBA!$B$3:$L$23,10,0),0),0)</f>
        <v>0</v>
      </c>
      <c r="Q100" s="577">
        <f>IFERROR(IF(VLOOKUP(Q$2,MODULY_CBA!$B$3:$N$23,13,0)&lt;='TCO TO BE- SW'!$D100,SUM('TCO TO BE- SW'!Q$37:Q$46)*VLOOKUP('TCO TO BE- SW'!Q$2,MODULY_CBA!$B$3:$L$23,10,0),0),0)</f>
        <v>0</v>
      </c>
      <c r="R100" s="577">
        <f>IFERROR(IF(VLOOKUP(R$2,MODULY_CBA!$B$3:$N$23,13,0)&lt;='TCO TO BE- SW'!$D100,SUM('TCO TO BE- SW'!R$37:R$46)*VLOOKUP('TCO TO BE- SW'!R$2,MODULY_CBA!$B$3:$L$23,10,0),0),0)</f>
        <v>10081.094693570512</v>
      </c>
      <c r="S100" s="577">
        <f>IFERROR(IF(VLOOKUP(S$2,MODULY_CBA!$B$3:$N$23,13,0)&lt;='TCO TO BE- SW'!$D100,SUM('TCO TO BE- SW'!S$37:S$46)*VLOOKUP('TCO TO BE- SW'!S$2,MODULY_CBA!$B$3:$L$23,10,0),0),0)</f>
        <v>15135.302060265749</v>
      </c>
      <c r="T100" s="577">
        <f>IFERROR(IF(VLOOKUP(T$2,MODULY_CBA!$B$3:$N$23,13,0)&lt;='TCO TO BE- SW'!$D100,SUM('TCO TO BE- SW'!T$37:T$46)*VLOOKUP('TCO TO BE- SW'!T$2,MODULY_CBA!$B$3:$L$23,10,0),0),0)</f>
        <v>17156.985006943851</v>
      </c>
      <c r="U100" s="577">
        <f>IFERROR(IF(VLOOKUP(U$2,MODULY_CBA!$B$3:$N$23,13,0)&lt;='TCO TO BE- SW'!$D100,SUM('TCO TO BE- SW'!U$37:U$46)*VLOOKUP('TCO TO BE- SW'!U$2,MODULY_CBA!$B$3:$L$23,10,0),0),0)</f>
        <v>16146.1435336048</v>
      </c>
      <c r="V100" s="577">
        <f>IFERROR(IF(VLOOKUP(V$2,MODULY_CBA!$B$3:$N$23,13,0)&lt;='TCO TO BE- SW'!$D100,SUM('TCO TO BE- SW'!V$37:V$46)*VLOOKUP('TCO TO BE- SW'!V$2,MODULY_CBA!$B$3:$L$23,10,0),0),0)</f>
        <v>8086.7317867123875</v>
      </c>
      <c r="W100" s="577">
        <f>IFERROR(IF(VLOOKUP(W$2,MODULY_CBA!$B$3:$N$23,13,0)&lt;='TCO TO BE- SW'!$D100,SUM('TCO TO BE- SW'!W$37:W$46)*VLOOKUP('TCO TO BE- SW'!W$2,MODULY_CBA!$B$3:$L$23,10,0),0),0)</f>
        <v>14124.460586926703</v>
      </c>
      <c r="X100" s="577">
        <f>IFERROR(IF(VLOOKUP(X$2,MODULY_CBA!$B$3:$N$23,13,0)&lt;='TCO TO BE- SW'!$D100,SUM('TCO TO BE- SW'!X$37:X$46)*VLOOKUP('TCO TO BE- SW'!X$2,MODULY_CBA!$B$3:$L$23,10,0),0),0)</f>
        <v>16146.1435336048</v>
      </c>
      <c r="Y100" s="577">
        <f>IFERROR(IF(VLOOKUP(Y$2,MODULY_CBA!$B$3:$N$23,13,0)&lt;='TCO TO BE- SW'!$D100,SUM('TCO TO BE- SW'!Y$37:Y$46)*VLOOKUP('TCO TO BE- SW'!Y$2,MODULY_CBA!$B$3:$L$23,10,0),0),0)</f>
        <v>6065.0488400342911</v>
      </c>
      <c r="Z100" s="577">
        <f>IFERROR(IF(VLOOKUP(Z$2,MODULY_CBA!$B$3:$N$23,13,0)&lt;='TCO TO BE- SW'!$D100,SUM('TCO TO BE- SW'!Z$37:Z$46)*VLOOKUP('TCO TO BE- SW'!Z$2,MODULY_CBA!$B$3:$L$23,10,0),0),0)</f>
        <v>0</v>
      </c>
    </row>
    <row r="101" spans="1:26" outlineLevel="2">
      <c r="A101" s="807"/>
      <c r="B101" s="808"/>
      <c r="C101" s="808"/>
      <c r="D101" s="64">
        <v>2</v>
      </c>
      <c r="E101" s="68">
        <f t="shared" si="14"/>
        <v>102941.9100416631</v>
      </c>
      <c r="F101" s="577">
        <f>IFERROR(IF(VLOOKUP(F$2,MODULY_CBA!$B$3:$N$23,13,0)&lt;='TCO TO BE- SW'!$D101,SUM('TCO TO BE- SW'!F$37:F$46)*VLOOKUP('TCO TO BE- SW'!F$2,MODULY_CBA!$B$3:$L$23,10,0),0),0)</f>
        <v>0</v>
      </c>
      <c r="G101" s="577">
        <f>IFERROR(IF(VLOOKUP(G$2,MODULY_CBA!$B$3:$N$23,13,0)&lt;='TCO TO BE- SW'!$D101,SUM('TCO TO BE- SW'!G$37:G$46)*VLOOKUP('TCO TO BE- SW'!G$2,MODULY_CBA!$B$3:$L$23,10,0),0),0)</f>
        <v>0</v>
      </c>
      <c r="H101" s="577">
        <f>IFERROR(IF(VLOOKUP(H$2,MODULY_CBA!$B$3:$N$23,13,0)&lt;='TCO TO BE- SW'!$D101,SUM('TCO TO BE- SW'!H$37:H$46)*VLOOKUP('TCO TO BE- SW'!H$2,MODULY_CBA!$B$3:$L$23,10,0),0),0)</f>
        <v>0</v>
      </c>
      <c r="I101" s="577">
        <f>IFERROR(IF(VLOOKUP(I$2,MODULY_CBA!$B$3:$N$23,13,0)&lt;='TCO TO BE- SW'!$D101,SUM('TCO TO BE- SW'!I$37:I$46)*VLOOKUP('TCO TO BE- SW'!I$2,MODULY_CBA!$B$3:$L$23,10,0),0),0)</f>
        <v>0</v>
      </c>
      <c r="J101" s="577">
        <f>IFERROR(IF(VLOOKUP(J$2,MODULY_CBA!$B$3:$N$23,13,0)&lt;='TCO TO BE- SW'!$D101,SUM('TCO TO BE- SW'!J$37:J$46)*VLOOKUP('TCO TO BE- SW'!J$2,MODULY_CBA!$B$3:$L$23,10,0),0),0)</f>
        <v>0</v>
      </c>
      <c r="K101" s="577">
        <f>IFERROR(IF(VLOOKUP(K$2,MODULY_CBA!$B$3:$N$23,13,0)&lt;='TCO TO BE- SW'!$D101,SUM('TCO TO BE- SW'!K$37:K$46)*VLOOKUP('TCO TO BE- SW'!K$2,MODULY_CBA!$B$3:$L$23,10,0),0),0)</f>
        <v>0</v>
      </c>
      <c r="L101" s="577">
        <f>IFERROR(IF(VLOOKUP(L$2,MODULY_CBA!$B$3:$N$23,13,0)&lt;='TCO TO BE- SW'!$D101,SUM('TCO TO BE- SW'!L$37:L$46)*VLOOKUP('TCO TO BE- SW'!L$2,MODULY_CBA!$B$3:$L$23,10,0),0),0)</f>
        <v>0</v>
      </c>
      <c r="M101" s="577">
        <f>IFERROR(IF(VLOOKUP(M$2,MODULY_CBA!$B$3:$N$23,13,0)&lt;='TCO TO BE- SW'!$D101,SUM('TCO TO BE- SW'!M$37:M$46)*VLOOKUP('TCO TO BE- SW'!M$2,MODULY_CBA!$B$3:$L$23,10,0),0),0)</f>
        <v>0</v>
      </c>
      <c r="N101" s="577">
        <f>IFERROR(IF(VLOOKUP(N$2,MODULY_CBA!$B$3:$N$23,13,0)&lt;='TCO TO BE- SW'!$D101,SUM('TCO TO BE- SW'!N$37:N$46)*VLOOKUP('TCO TO BE- SW'!N$2,MODULY_CBA!$B$3:$L$23,10,0),0),0)</f>
        <v>0</v>
      </c>
      <c r="O101" s="577">
        <f>IFERROR(IF(VLOOKUP(O$2,MODULY_CBA!$B$3:$N$23,13,0)&lt;='TCO TO BE- SW'!$D101,SUM('TCO TO BE- SW'!O$37:O$46)*VLOOKUP('TCO TO BE- SW'!O$2,MODULY_CBA!$B$3:$L$23,10,0),0),0)</f>
        <v>0</v>
      </c>
      <c r="P101" s="577">
        <f>IFERROR(IF(VLOOKUP(P$2,MODULY_CBA!$B$3:$N$23,13,0)&lt;='TCO TO BE- SW'!$D101,SUM('TCO TO BE- SW'!P$37:P$46)*VLOOKUP('TCO TO BE- SW'!P$2,MODULY_CBA!$B$3:$L$23,10,0),0),0)</f>
        <v>0</v>
      </c>
      <c r="Q101" s="577">
        <f>IFERROR(IF(VLOOKUP(Q$2,MODULY_CBA!$B$3:$N$23,13,0)&lt;='TCO TO BE- SW'!$D101,SUM('TCO TO BE- SW'!Q$37:Q$46)*VLOOKUP('TCO TO BE- SW'!Q$2,MODULY_CBA!$B$3:$L$23,10,0),0),0)</f>
        <v>0</v>
      </c>
      <c r="R101" s="577">
        <f>IFERROR(IF(VLOOKUP(R$2,MODULY_CBA!$B$3:$N$23,13,0)&lt;='TCO TO BE- SW'!$D101,SUM('TCO TO BE- SW'!R$37:R$46)*VLOOKUP('TCO TO BE- SW'!R$2,MODULY_CBA!$B$3:$L$23,10,0),0),0)</f>
        <v>10081.094693570512</v>
      </c>
      <c r="S101" s="577">
        <f>IFERROR(IF(VLOOKUP(S$2,MODULY_CBA!$B$3:$N$23,13,0)&lt;='TCO TO BE- SW'!$D101,SUM('TCO TO BE- SW'!S$37:S$46)*VLOOKUP('TCO TO BE- SW'!S$2,MODULY_CBA!$B$3:$L$23,10,0),0),0)</f>
        <v>15135.302060265749</v>
      </c>
      <c r="T101" s="577">
        <f>IFERROR(IF(VLOOKUP(T$2,MODULY_CBA!$B$3:$N$23,13,0)&lt;='TCO TO BE- SW'!$D101,SUM('TCO TO BE- SW'!T$37:T$46)*VLOOKUP('TCO TO BE- SW'!T$2,MODULY_CBA!$B$3:$L$23,10,0),0),0)</f>
        <v>17156.985006943851</v>
      </c>
      <c r="U101" s="577">
        <f>IFERROR(IF(VLOOKUP(U$2,MODULY_CBA!$B$3:$N$23,13,0)&lt;='TCO TO BE- SW'!$D101,SUM('TCO TO BE- SW'!U$37:U$46)*VLOOKUP('TCO TO BE- SW'!U$2,MODULY_CBA!$B$3:$L$23,10,0),0),0)</f>
        <v>16146.1435336048</v>
      </c>
      <c r="V101" s="577">
        <f>IFERROR(IF(VLOOKUP(V$2,MODULY_CBA!$B$3:$N$23,13,0)&lt;='TCO TO BE- SW'!$D101,SUM('TCO TO BE- SW'!V$37:V$46)*VLOOKUP('TCO TO BE- SW'!V$2,MODULY_CBA!$B$3:$L$23,10,0),0),0)</f>
        <v>8086.7317867123875</v>
      </c>
      <c r="W101" s="577">
        <f>IFERROR(IF(VLOOKUP(W$2,MODULY_CBA!$B$3:$N$23,13,0)&lt;='TCO TO BE- SW'!$D101,SUM('TCO TO BE- SW'!W$37:W$46)*VLOOKUP('TCO TO BE- SW'!W$2,MODULY_CBA!$B$3:$L$23,10,0),0),0)</f>
        <v>14124.460586926703</v>
      </c>
      <c r="X101" s="577">
        <f>IFERROR(IF(VLOOKUP(X$2,MODULY_CBA!$B$3:$N$23,13,0)&lt;='TCO TO BE- SW'!$D101,SUM('TCO TO BE- SW'!X$37:X$46)*VLOOKUP('TCO TO BE- SW'!X$2,MODULY_CBA!$B$3:$L$23,10,0),0),0)</f>
        <v>16146.1435336048</v>
      </c>
      <c r="Y101" s="577">
        <f>IFERROR(IF(VLOOKUP(Y$2,MODULY_CBA!$B$3:$N$23,13,0)&lt;='TCO TO BE- SW'!$D101,SUM('TCO TO BE- SW'!Y$37:Y$46)*VLOOKUP('TCO TO BE- SW'!Y$2,MODULY_CBA!$B$3:$L$23,10,0),0),0)</f>
        <v>6065.0488400342911</v>
      </c>
      <c r="Z101" s="577">
        <f>IFERROR(IF(VLOOKUP(Z$2,MODULY_CBA!$B$3:$N$23,13,0)&lt;='TCO TO BE- SW'!$D101,SUM('TCO TO BE- SW'!Z$37:Z$46)*VLOOKUP('TCO TO BE- SW'!Z$2,MODULY_CBA!$B$3:$L$23,10,0),0),0)</f>
        <v>0</v>
      </c>
    </row>
    <row r="102" spans="1:26" outlineLevel="2">
      <c r="A102" s="807"/>
      <c r="B102" s="808"/>
      <c r="C102" s="808"/>
      <c r="D102" s="64">
        <v>3</v>
      </c>
      <c r="E102" s="68">
        <f t="shared" si="14"/>
        <v>318688.26449999993</v>
      </c>
      <c r="F102" s="577">
        <f>IFERROR(IF(VLOOKUP(F$2,MODULY_CBA!$B$3:$N$23,13,0)&lt;='TCO TO BE- SW'!$D102,SUM('TCO TO BE- SW'!F$37:F$46)*VLOOKUP('TCO TO BE- SW'!F$2,MODULY_CBA!$B$3:$L$23,10,0),0),0)</f>
        <v>49859.072671453061</v>
      </c>
      <c r="G102" s="577">
        <f>IFERROR(IF(VLOOKUP(G$2,MODULY_CBA!$B$3:$N$23,13,0)&lt;='TCO TO BE- SW'!$D102,SUM('TCO TO BE- SW'!G$37:G$46)*VLOOKUP('TCO TO BE- SW'!G$2,MODULY_CBA!$B$3:$L$23,10,0),0),0)</f>
        <v>10791.415728889842</v>
      </c>
      <c r="H102" s="577">
        <f>IFERROR(IF(VLOOKUP(H$2,MODULY_CBA!$B$3:$N$23,13,0)&lt;='TCO TO BE- SW'!$D102,SUM('TCO TO BE- SW'!H$37:H$46)*VLOOKUP('TCO TO BE- SW'!H$2,MODULY_CBA!$B$3:$L$23,10,0),0),0)</f>
        <v>14834.781622246033</v>
      </c>
      <c r="I102" s="577">
        <f>IFERROR(IF(VLOOKUP(I$2,MODULY_CBA!$B$3:$N$23,13,0)&lt;='TCO TO BE- SW'!$D102,SUM('TCO TO BE- SW'!I$37:I$46)*VLOOKUP('TCO TO BE- SW'!I$2,MODULY_CBA!$B$3:$L$23,10,0),0),0)</f>
        <v>19178.667953621945</v>
      </c>
      <c r="J102" s="577">
        <f>IFERROR(IF(VLOOKUP(J$2,MODULY_CBA!$B$3:$N$23,13,0)&lt;='TCO TO BE- SW'!$D102,SUM('TCO TO BE- SW'!J$37:J$46)*VLOOKUP('TCO TO BE- SW'!J$2,MODULY_CBA!$B$3:$L$23,10,0),0),0)</f>
        <v>5054.2073666952419</v>
      </c>
      <c r="K102" s="577">
        <f>IFERROR(IF(VLOOKUP(K$2,MODULY_CBA!$B$3:$N$23,13,0)&lt;='TCO TO BE- SW'!$D102,SUM('TCO TO BE- SW'!K$37:K$46)*VLOOKUP('TCO TO BE- SW'!K$2,MODULY_CBA!$B$3:$L$23,10,0),0),0)</f>
        <v>11091.93616690956</v>
      </c>
      <c r="L102" s="577">
        <f>IFERROR(IF(VLOOKUP(L$2,MODULY_CBA!$B$3:$N$23,13,0)&lt;='TCO TO BE- SW'!$D102,SUM('TCO TO BE- SW'!L$37:L$46)*VLOOKUP('TCO TO BE- SW'!L$2,MODULY_CBA!$B$3:$L$23,10,0),0),0)</f>
        <v>23222.033846978138</v>
      </c>
      <c r="M102" s="577">
        <f>IFERROR(IF(VLOOKUP(M$2,MODULY_CBA!$B$3:$N$23,13,0)&lt;='TCO TO BE- SW'!$D102,SUM('TCO TO BE- SW'!M$37:M$46)*VLOOKUP('TCO TO BE- SW'!M$2,MODULY_CBA!$B$3:$L$23,10,0),0),0)</f>
        <v>27238.079700514361</v>
      </c>
      <c r="N102" s="577">
        <f>IFERROR(IF(VLOOKUP(N$2,MODULY_CBA!$B$3:$N$23,13,0)&lt;='TCO TO BE- SW'!$D102,SUM('TCO TO BE- SW'!N$37:N$46)*VLOOKUP('TCO TO BE- SW'!N$2,MODULY_CBA!$B$3:$L$23,10,0),0),0)</f>
        <v>12102.777640248607</v>
      </c>
      <c r="O102" s="577">
        <f>IFERROR(IF(VLOOKUP(O$2,MODULY_CBA!$B$3:$N$23,13,0)&lt;='TCO TO BE- SW'!$D102,SUM('TCO TO BE- SW'!O$37:O$46)*VLOOKUP('TCO TO BE- SW'!O$2,MODULY_CBA!$B$3:$L$23,10,0),0),0)</f>
        <v>18167.8264802829</v>
      </c>
      <c r="P102" s="577">
        <f>IFERROR(IF(VLOOKUP(P$2,MODULY_CBA!$B$3:$N$23,13,0)&lt;='TCO TO BE- SW'!$D102,SUM('TCO TO BE- SW'!P$37:P$46)*VLOOKUP('TCO TO BE- SW'!P$2,MODULY_CBA!$B$3:$L$23,10,0),0),0)</f>
        <v>14124.460586926703</v>
      </c>
      <c r="Q102" s="577">
        <f>IFERROR(IF(VLOOKUP(Q$2,MODULY_CBA!$B$3:$N$23,13,0)&lt;='TCO TO BE- SW'!$D102,SUM('TCO TO BE- SW'!Q$37:Q$46)*VLOOKUP('TCO TO BE- SW'!Q$2,MODULY_CBA!$B$3:$L$23,10,0),0),0)</f>
        <v>10081.094693570512</v>
      </c>
      <c r="R102" s="577">
        <f>IFERROR(IF(VLOOKUP(R$2,MODULY_CBA!$B$3:$N$23,13,0)&lt;='TCO TO BE- SW'!$D102,SUM('TCO TO BE- SW'!R$37:R$46)*VLOOKUP('TCO TO BE- SW'!R$2,MODULY_CBA!$B$3:$L$23,10,0),0),0)</f>
        <v>10081.094693570512</v>
      </c>
      <c r="S102" s="577">
        <f>IFERROR(IF(VLOOKUP(S$2,MODULY_CBA!$B$3:$N$23,13,0)&lt;='TCO TO BE- SW'!$D102,SUM('TCO TO BE- SW'!S$37:S$46)*VLOOKUP('TCO TO BE- SW'!S$2,MODULY_CBA!$B$3:$L$23,10,0),0),0)</f>
        <v>15135.302060265749</v>
      </c>
      <c r="T102" s="577">
        <f>IFERROR(IF(VLOOKUP(T$2,MODULY_CBA!$B$3:$N$23,13,0)&lt;='TCO TO BE- SW'!$D102,SUM('TCO TO BE- SW'!T$37:T$46)*VLOOKUP('TCO TO BE- SW'!T$2,MODULY_CBA!$B$3:$L$23,10,0),0),0)</f>
        <v>17156.985006943851</v>
      </c>
      <c r="U102" s="577">
        <f>IFERROR(IF(VLOOKUP(U$2,MODULY_CBA!$B$3:$N$23,13,0)&lt;='TCO TO BE- SW'!$D102,SUM('TCO TO BE- SW'!U$37:U$46)*VLOOKUP('TCO TO BE- SW'!U$2,MODULY_CBA!$B$3:$L$23,10,0),0),0)</f>
        <v>16146.1435336048</v>
      </c>
      <c r="V102" s="577">
        <f>IFERROR(IF(VLOOKUP(V$2,MODULY_CBA!$B$3:$N$23,13,0)&lt;='TCO TO BE- SW'!$D102,SUM('TCO TO BE- SW'!V$37:V$46)*VLOOKUP('TCO TO BE- SW'!V$2,MODULY_CBA!$B$3:$L$23,10,0),0),0)</f>
        <v>8086.7317867123875</v>
      </c>
      <c r="W102" s="577">
        <f>IFERROR(IF(VLOOKUP(W$2,MODULY_CBA!$B$3:$N$23,13,0)&lt;='TCO TO BE- SW'!$D102,SUM('TCO TO BE- SW'!W$37:W$46)*VLOOKUP('TCO TO BE- SW'!W$2,MODULY_CBA!$B$3:$L$23,10,0),0),0)</f>
        <v>14124.460586926703</v>
      </c>
      <c r="X102" s="577">
        <f>IFERROR(IF(VLOOKUP(X$2,MODULY_CBA!$B$3:$N$23,13,0)&lt;='TCO TO BE- SW'!$D102,SUM('TCO TO BE- SW'!X$37:X$46)*VLOOKUP('TCO TO BE- SW'!X$2,MODULY_CBA!$B$3:$L$23,10,0),0),0)</f>
        <v>16146.1435336048</v>
      </c>
      <c r="Y102" s="577">
        <f>IFERROR(IF(VLOOKUP(Y$2,MODULY_CBA!$B$3:$N$23,13,0)&lt;='TCO TO BE- SW'!$D102,SUM('TCO TO BE- SW'!Y$37:Y$46)*VLOOKUP('TCO TO BE- SW'!Y$2,MODULY_CBA!$B$3:$L$23,10,0),0),0)</f>
        <v>6065.0488400342911</v>
      </c>
      <c r="Z102" s="577">
        <f>IFERROR(IF(VLOOKUP(Z$2,MODULY_CBA!$B$3:$N$23,13,0)&lt;='TCO TO BE- SW'!$D102,SUM('TCO TO BE- SW'!Z$37:Z$46)*VLOOKUP('TCO TO BE- SW'!Z$2,MODULY_CBA!$B$3:$L$23,10,0),0),0)</f>
        <v>0</v>
      </c>
    </row>
    <row r="103" spans="1:26" outlineLevel="2">
      <c r="A103" s="807"/>
      <c r="B103" s="808"/>
      <c r="C103" s="808"/>
      <c r="D103" s="64">
        <v>4</v>
      </c>
      <c r="E103" s="68">
        <f t="shared" si="14"/>
        <v>318688.26449999993</v>
      </c>
      <c r="F103" s="577">
        <f>IFERROR(IF(VLOOKUP(F$2,MODULY_CBA!$B$3:$N$23,13,0)&lt;='TCO TO BE- SW'!$D103,SUM('TCO TO BE- SW'!F$37:F$46)*VLOOKUP('TCO TO BE- SW'!F$2,MODULY_CBA!$B$3:$L$23,10,0),0),0)</f>
        <v>49859.072671453061</v>
      </c>
      <c r="G103" s="577">
        <f>IFERROR(IF(VLOOKUP(G$2,MODULY_CBA!$B$3:$N$23,13,0)&lt;='TCO TO BE- SW'!$D103,SUM('TCO TO BE- SW'!G$37:G$46)*VLOOKUP('TCO TO BE- SW'!G$2,MODULY_CBA!$B$3:$L$23,10,0),0),0)</f>
        <v>10791.415728889842</v>
      </c>
      <c r="H103" s="577">
        <f>IFERROR(IF(VLOOKUP(H$2,MODULY_CBA!$B$3:$N$23,13,0)&lt;='TCO TO BE- SW'!$D103,SUM('TCO TO BE- SW'!H$37:H$46)*VLOOKUP('TCO TO BE- SW'!H$2,MODULY_CBA!$B$3:$L$23,10,0),0),0)</f>
        <v>14834.781622246033</v>
      </c>
      <c r="I103" s="577">
        <f>IFERROR(IF(VLOOKUP(I$2,MODULY_CBA!$B$3:$N$23,13,0)&lt;='TCO TO BE- SW'!$D103,SUM('TCO TO BE- SW'!I$37:I$46)*VLOOKUP('TCO TO BE- SW'!I$2,MODULY_CBA!$B$3:$L$23,10,0),0),0)</f>
        <v>19178.667953621945</v>
      </c>
      <c r="J103" s="577">
        <f>IFERROR(IF(VLOOKUP(J$2,MODULY_CBA!$B$3:$N$23,13,0)&lt;='TCO TO BE- SW'!$D103,SUM('TCO TO BE- SW'!J$37:J$46)*VLOOKUP('TCO TO BE- SW'!J$2,MODULY_CBA!$B$3:$L$23,10,0),0),0)</f>
        <v>5054.2073666952419</v>
      </c>
      <c r="K103" s="577">
        <f>IFERROR(IF(VLOOKUP(K$2,MODULY_CBA!$B$3:$N$23,13,0)&lt;='TCO TO BE- SW'!$D103,SUM('TCO TO BE- SW'!K$37:K$46)*VLOOKUP('TCO TO BE- SW'!K$2,MODULY_CBA!$B$3:$L$23,10,0),0),0)</f>
        <v>11091.93616690956</v>
      </c>
      <c r="L103" s="577">
        <f>IFERROR(IF(VLOOKUP(L$2,MODULY_CBA!$B$3:$N$23,13,0)&lt;='TCO TO BE- SW'!$D103,SUM('TCO TO BE- SW'!L$37:L$46)*VLOOKUP('TCO TO BE- SW'!L$2,MODULY_CBA!$B$3:$L$23,10,0),0),0)</f>
        <v>23222.033846978138</v>
      </c>
      <c r="M103" s="577">
        <f>IFERROR(IF(VLOOKUP(M$2,MODULY_CBA!$B$3:$N$23,13,0)&lt;='TCO TO BE- SW'!$D103,SUM('TCO TO BE- SW'!M$37:M$46)*VLOOKUP('TCO TO BE- SW'!M$2,MODULY_CBA!$B$3:$L$23,10,0),0),0)</f>
        <v>27238.079700514361</v>
      </c>
      <c r="N103" s="577">
        <f>IFERROR(IF(VLOOKUP(N$2,MODULY_CBA!$B$3:$N$23,13,0)&lt;='TCO TO BE- SW'!$D103,SUM('TCO TO BE- SW'!N$37:N$46)*VLOOKUP('TCO TO BE- SW'!N$2,MODULY_CBA!$B$3:$L$23,10,0),0),0)</f>
        <v>12102.777640248607</v>
      </c>
      <c r="O103" s="577">
        <f>IFERROR(IF(VLOOKUP(O$2,MODULY_CBA!$B$3:$N$23,13,0)&lt;='TCO TO BE- SW'!$D103,SUM('TCO TO BE- SW'!O$37:O$46)*VLOOKUP('TCO TO BE- SW'!O$2,MODULY_CBA!$B$3:$L$23,10,0),0),0)</f>
        <v>18167.8264802829</v>
      </c>
      <c r="P103" s="577">
        <f>IFERROR(IF(VLOOKUP(P$2,MODULY_CBA!$B$3:$N$23,13,0)&lt;='TCO TO BE- SW'!$D103,SUM('TCO TO BE- SW'!P$37:P$46)*VLOOKUP('TCO TO BE- SW'!P$2,MODULY_CBA!$B$3:$L$23,10,0),0),0)</f>
        <v>14124.460586926703</v>
      </c>
      <c r="Q103" s="577">
        <f>IFERROR(IF(VLOOKUP(Q$2,MODULY_CBA!$B$3:$N$23,13,0)&lt;='TCO TO BE- SW'!$D103,SUM('TCO TO BE- SW'!Q$37:Q$46)*VLOOKUP('TCO TO BE- SW'!Q$2,MODULY_CBA!$B$3:$L$23,10,0),0),0)</f>
        <v>10081.094693570512</v>
      </c>
      <c r="R103" s="577">
        <f>IFERROR(IF(VLOOKUP(R$2,MODULY_CBA!$B$3:$N$23,13,0)&lt;='TCO TO BE- SW'!$D103,SUM('TCO TO BE- SW'!R$37:R$46)*VLOOKUP('TCO TO BE- SW'!R$2,MODULY_CBA!$B$3:$L$23,10,0),0),0)</f>
        <v>10081.094693570512</v>
      </c>
      <c r="S103" s="577">
        <f>IFERROR(IF(VLOOKUP(S$2,MODULY_CBA!$B$3:$N$23,13,0)&lt;='TCO TO BE- SW'!$D103,SUM('TCO TO BE- SW'!S$37:S$46)*VLOOKUP('TCO TO BE- SW'!S$2,MODULY_CBA!$B$3:$L$23,10,0),0),0)</f>
        <v>15135.302060265749</v>
      </c>
      <c r="T103" s="577">
        <f>IFERROR(IF(VLOOKUP(T$2,MODULY_CBA!$B$3:$N$23,13,0)&lt;='TCO TO BE- SW'!$D103,SUM('TCO TO BE- SW'!T$37:T$46)*VLOOKUP('TCO TO BE- SW'!T$2,MODULY_CBA!$B$3:$L$23,10,0),0),0)</f>
        <v>17156.985006943851</v>
      </c>
      <c r="U103" s="577">
        <f>IFERROR(IF(VLOOKUP(U$2,MODULY_CBA!$B$3:$N$23,13,0)&lt;='TCO TO BE- SW'!$D103,SUM('TCO TO BE- SW'!U$37:U$46)*VLOOKUP('TCO TO BE- SW'!U$2,MODULY_CBA!$B$3:$L$23,10,0),0),0)</f>
        <v>16146.1435336048</v>
      </c>
      <c r="V103" s="577">
        <f>IFERROR(IF(VLOOKUP(V$2,MODULY_CBA!$B$3:$N$23,13,0)&lt;='TCO TO BE- SW'!$D103,SUM('TCO TO BE- SW'!V$37:V$46)*VLOOKUP('TCO TO BE- SW'!V$2,MODULY_CBA!$B$3:$L$23,10,0),0),0)</f>
        <v>8086.7317867123875</v>
      </c>
      <c r="W103" s="577">
        <f>IFERROR(IF(VLOOKUP(W$2,MODULY_CBA!$B$3:$N$23,13,0)&lt;='TCO TO BE- SW'!$D103,SUM('TCO TO BE- SW'!W$37:W$46)*VLOOKUP('TCO TO BE- SW'!W$2,MODULY_CBA!$B$3:$L$23,10,0),0),0)</f>
        <v>14124.460586926703</v>
      </c>
      <c r="X103" s="577">
        <f>IFERROR(IF(VLOOKUP(X$2,MODULY_CBA!$B$3:$N$23,13,0)&lt;='TCO TO BE- SW'!$D103,SUM('TCO TO BE- SW'!X$37:X$46)*VLOOKUP('TCO TO BE- SW'!X$2,MODULY_CBA!$B$3:$L$23,10,0),0),0)</f>
        <v>16146.1435336048</v>
      </c>
      <c r="Y103" s="577">
        <f>IFERROR(IF(VLOOKUP(Y$2,MODULY_CBA!$B$3:$N$23,13,0)&lt;='TCO TO BE- SW'!$D103,SUM('TCO TO BE- SW'!Y$37:Y$46)*VLOOKUP('TCO TO BE- SW'!Y$2,MODULY_CBA!$B$3:$L$23,10,0),0),0)</f>
        <v>6065.0488400342911</v>
      </c>
      <c r="Z103" s="577">
        <f>IFERROR(IF(VLOOKUP(Z$2,MODULY_CBA!$B$3:$N$23,13,0)&lt;='TCO TO BE- SW'!$D103,SUM('TCO TO BE- SW'!Z$37:Z$46)*VLOOKUP('TCO TO BE- SW'!Z$2,MODULY_CBA!$B$3:$L$23,10,0),0),0)</f>
        <v>0</v>
      </c>
    </row>
    <row r="104" spans="1:26" outlineLevel="2">
      <c r="A104" s="807"/>
      <c r="B104" s="808"/>
      <c r="C104" s="808"/>
      <c r="D104" s="64">
        <v>5</v>
      </c>
      <c r="E104" s="68">
        <f t="shared" si="14"/>
        <v>318688.26449999993</v>
      </c>
      <c r="F104" s="577">
        <f>IFERROR(IF(VLOOKUP(F$2,MODULY_CBA!$B$3:$N$23,13,0)&lt;='TCO TO BE- SW'!$D104,SUM('TCO TO BE- SW'!F$37:F$46)*VLOOKUP('TCO TO BE- SW'!F$2,MODULY_CBA!$B$3:$L$23,10,0),0),0)</f>
        <v>49859.072671453061</v>
      </c>
      <c r="G104" s="577">
        <f>IFERROR(IF(VLOOKUP(G$2,MODULY_CBA!$B$3:$N$23,13,0)&lt;='TCO TO BE- SW'!$D104,SUM('TCO TO BE- SW'!G$37:G$46)*VLOOKUP('TCO TO BE- SW'!G$2,MODULY_CBA!$B$3:$L$23,10,0),0),0)</f>
        <v>10791.415728889842</v>
      </c>
      <c r="H104" s="577">
        <f>IFERROR(IF(VLOOKUP(H$2,MODULY_CBA!$B$3:$N$23,13,0)&lt;='TCO TO BE- SW'!$D104,SUM('TCO TO BE- SW'!H$37:H$46)*VLOOKUP('TCO TO BE- SW'!H$2,MODULY_CBA!$B$3:$L$23,10,0),0),0)</f>
        <v>14834.781622246033</v>
      </c>
      <c r="I104" s="577">
        <f>IFERROR(IF(VLOOKUP(I$2,MODULY_CBA!$B$3:$N$23,13,0)&lt;='TCO TO BE- SW'!$D104,SUM('TCO TO BE- SW'!I$37:I$46)*VLOOKUP('TCO TO BE- SW'!I$2,MODULY_CBA!$B$3:$L$23,10,0),0),0)</f>
        <v>19178.667953621945</v>
      </c>
      <c r="J104" s="577">
        <f>IFERROR(IF(VLOOKUP(J$2,MODULY_CBA!$B$3:$N$23,13,0)&lt;='TCO TO BE- SW'!$D104,SUM('TCO TO BE- SW'!J$37:J$46)*VLOOKUP('TCO TO BE- SW'!J$2,MODULY_CBA!$B$3:$L$23,10,0),0),0)</f>
        <v>5054.2073666952419</v>
      </c>
      <c r="K104" s="577">
        <f>IFERROR(IF(VLOOKUP(K$2,MODULY_CBA!$B$3:$N$23,13,0)&lt;='TCO TO BE- SW'!$D104,SUM('TCO TO BE- SW'!K$37:K$46)*VLOOKUP('TCO TO BE- SW'!K$2,MODULY_CBA!$B$3:$L$23,10,0),0),0)</f>
        <v>11091.93616690956</v>
      </c>
      <c r="L104" s="577">
        <f>IFERROR(IF(VLOOKUP(L$2,MODULY_CBA!$B$3:$N$23,13,0)&lt;='TCO TO BE- SW'!$D104,SUM('TCO TO BE- SW'!L$37:L$46)*VLOOKUP('TCO TO BE- SW'!L$2,MODULY_CBA!$B$3:$L$23,10,0),0),0)</f>
        <v>23222.033846978138</v>
      </c>
      <c r="M104" s="577">
        <f>IFERROR(IF(VLOOKUP(M$2,MODULY_CBA!$B$3:$N$23,13,0)&lt;='TCO TO BE- SW'!$D104,SUM('TCO TO BE- SW'!M$37:M$46)*VLOOKUP('TCO TO BE- SW'!M$2,MODULY_CBA!$B$3:$L$23,10,0),0),0)</f>
        <v>27238.079700514361</v>
      </c>
      <c r="N104" s="577">
        <f>IFERROR(IF(VLOOKUP(N$2,MODULY_CBA!$B$3:$N$23,13,0)&lt;='TCO TO BE- SW'!$D104,SUM('TCO TO BE- SW'!N$37:N$46)*VLOOKUP('TCO TO BE- SW'!N$2,MODULY_CBA!$B$3:$L$23,10,0),0),0)</f>
        <v>12102.777640248607</v>
      </c>
      <c r="O104" s="577">
        <f>IFERROR(IF(VLOOKUP(O$2,MODULY_CBA!$B$3:$N$23,13,0)&lt;='TCO TO BE- SW'!$D104,SUM('TCO TO BE- SW'!O$37:O$46)*VLOOKUP('TCO TO BE- SW'!O$2,MODULY_CBA!$B$3:$L$23,10,0),0),0)</f>
        <v>18167.8264802829</v>
      </c>
      <c r="P104" s="577">
        <f>IFERROR(IF(VLOOKUP(P$2,MODULY_CBA!$B$3:$N$23,13,0)&lt;='TCO TO BE- SW'!$D104,SUM('TCO TO BE- SW'!P$37:P$46)*VLOOKUP('TCO TO BE- SW'!P$2,MODULY_CBA!$B$3:$L$23,10,0),0),0)</f>
        <v>14124.460586926703</v>
      </c>
      <c r="Q104" s="577">
        <f>IFERROR(IF(VLOOKUP(Q$2,MODULY_CBA!$B$3:$N$23,13,0)&lt;='TCO TO BE- SW'!$D104,SUM('TCO TO BE- SW'!Q$37:Q$46)*VLOOKUP('TCO TO BE- SW'!Q$2,MODULY_CBA!$B$3:$L$23,10,0),0),0)</f>
        <v>10081.094693570512</v>
      </c>
      <c r="R104" s="577">
        <f>IFERROR(IF(VLOOKUP(R$2,MODULY_CBA!$B$3:$N$23,13,0)&lt;='TCO TO BE- SW'!$D104,SUM('TCO TO BE- SW'!R$37:R$46)*VLOOKUP('TCO TO BE- SW'!R$2,MODULY_CBA!$B$3:$L$23,10,0),0),0)</f>
        <v>10081.094693570512</v>
      </c>
      <c r="S104" s="577">
        <f>IFERROR(IF(VLOOKUP(S$2,MODULY_CBA!$B$3:$N$23,13,0)&lt;='TCO TO BE- SW'!$D104,SUM('TCO TO BE- SW'!S$37:S$46)*VLOOKUP('TCO TO BE- SW'!S$2,MODULY_CBA!$B$3:$L$23,10,0),0),0)</f>
        <v>15135.302060265749</v>
      </c>
      <c r="T104" s="577">
        <f>IFERROR(IF(VLOOKUP(T$2,MODULY_CBA!$B$3:$N$23,13,0)&lt;='TCO TO BE- SW'!$D104,SUM('TCO TO BE- SW'!T$37:T$46)*VLOOKUP('TCO TO BE- SW'!T$2,MODULY_CBA!$B$3:$L$23,10,0),0),0)</f>
        <v>17156.985006943851</v>
      </c>
      <c r="U104" s="577">
        <f>IFERROR(IF(VLOOKUP(U$2,MODULY_CBA!$B$3:$N$23,13,0)&lt;='TCO TO BE- SW'!$D104,SUM('TCO TO BE- SW'!U$37:U$46)*VLOOKUP('TCO TO BE- SW'!U$2,MODULY_CBA!$B$3:$L$23,10,0),0),0)</f>
        <v>16146.1435336048</v>
      </c>
      <c r="V104" s="577">
        <f>IFERROR(IF(VLOOKUP(V$2,MODULY_CBA!$B$3:$N$23,13,0)&lt;='TCO TO BE- SW'!$D104,SUM('TCO TO BE- SW'!V$37:V$46)*VLOOKUP('TCO TO BE- SW'!V$2,MODULY_CBA!$B$3:$L$23,10,0),0),0)</f>
        <v>8086.7317867123875</v>
      </c>
      <c r="W104" s="577">
        <f>IFERROR(IF(VLOOKUP(W$2,MODULY_CBA!$B$3:$N$23,13,0)&lt;='TCO TO BE- SW'!$D104,SUM('TCO TO BE- SW'!W$37:W$46)*VLOOKUP('TCO TO BE- SW'!W$2,MODULY_CBA!$B$3:$L$23,10,0),0),0)</f>
        <v>14124.460586926703</v>
      </c>
      <c r="X104" s="577">
        <f>IFERROR(IF(VLOOKUP(X$2,MODULY_CBA!$B$3:$N$23,13,0)&lt;='TCO TO BE- SW'!$D104,SUM('TCO TO BE- SW'!X$37:X$46)*VLOOKUP('TCO TO BE- SW'!X$2,MODULY_CBA!$B$3:$L$23,10,0),0),0)</f>
        <v>16146.1435336048</v>
      </c>
      <c r="Y104" s="577">
        <f>IFERROR(IF(VLOOKUP(Y$2,MODULY_CBA!$B$3:$N$23,13,0)&lt;='TCO TO BE- SW'!$D104,SUM('TCO TO BE- SW'!Y$37:Y$46)*VLOOKUP('TCO TO BE- SW'!Y$2,MODULY_CBA!$B$3:$L$23,10,0),0),0)</f>
        <v>6065.0488400342911</v>
      </c>
      <c r="Z104" s="577">
        <f>IFERROR(IF(VLOOKUP(Z$2,MODULY_CBA!$B$3:$N$23,13,0)&lt;='TCO TO BE- SW'!$D104,SUM('TCO TO BE- SW'!Z$37:Z$46)*VLOOKUP('TCO TO BE- SW'!Z$2,MODULY_CBA!$B$3:$L$23,10,0),0),0)</f>
        <v>0</v>
      </c>
    </row>
    <row r="105" spans="1:26" outlineLevel="2">
      <c r="A105" s="807"/>
      <c r="B105" s="808"/>
      <c r="C105" s="808"/>
      <c r="D105" s="64">
        <v>6</v>
      </c>
      <c r="E105" s="68">
        <f t="shared" si="14"/>
        <v>318688.26449999993</v>
      </c>
      <c r="F105" s="577">
        <f>IFERROR(IF(VLOOKUP(F$2,MODULY_CBA!$B$3:$N$23,13,0)&lt;='TCO TO BE- SW'!$D105,SUM('TCO TO BE- SW'!F$37:F$46)*VLOOKUP('TCO TO BE- SW'!F$2,MODULY_CBA!$B$3:$L$23,10,0),0),0)</f>
        <v>49859.072671453061</v>
      </c>
      <c r="G105" s="577">
        <f>IFERROR(IF(VLOOKUP(G$2,MODULY_CBA!$B$3:$N$23,13,0)&lt;='TCO TO BE- SW'!$D105,SUM('TCO TO BE- SW'!G$37:G$46)*VLOOKUP('TCO TO BE- SW'!G$2,MODULY_CBA!$B$3:$L$23,10,0),0),0)</f>
        <v>10791.415728889842</v>
      </c>
      <c r="H105" s="577">
        <f>IFERROR(IF(VLOOKUP(H$2,MODULY_CBA!$B$3:$N$23,13,0)&lt;='TCO TO BE- SW'!$D105,SUM('TCO TO BE- SW'!H$37:H$46)*VLOOKUP('TCO TO BE- SW'!H$2,MODULY_CBA!$B$3:$L$23,10,0),0),0)</f>
        <v>14834.781622246033</v>
      </c>
      <c r="I105" s="577">
        <f>IFERROR(IF(VLOOKUP(I$2,MODULY_CBA!$B$3:$N$23,13,0)&lt;='TCO TO BE- SW'!$D105,SUM('TCO TO BE- SW'!I$37:I$46)*VLOOKUP('TCO TO BE- SW'!I$2,MODULY_CBA!$B$3:$L$23,10,0),0),0)</f>
        <v>19178.667953621945</v>
      </c>
      <c r="J105" s="577">
        <f>IFERROR(IF(VLOOKUP(J$2,MODULY_CBA!$B$3:$N$23,13,0)&lt;='TCO TO BE- SW'!$D105,SUM('TCO TO BE- SW'!J$37:J$46)*VLOOKUP('TCO TO BE- SW'!J$2,MODULY_CBA!$B$3:$L$23,10,0),0),0)</f>
        <v>5054.2073666952419</v>
      </c>
      <c r="K105" s="577">
        <f>IFERROR(IF(VLOOKUP(K$2,MODULY_CBA!$B$3:$N$23,13,0)&lt;='TCO TO BE- SW'!$D105,SUM('TCO TO BE- SW'!K$37:K$46)*VLOOKUP('TCO TO BE- SW'!K$2,MODULY_CBA!$B$3:$L$23,10,0),0),0)</f>
        <v>11091.93616690956</v>
      </c>
      <c r="L105" s="577">
        <f>IFERROR(IF(VLOOKUP(L$2,MODULY_CBA!$B$3:$N$23,13,0)&lt;='TCO TO BE- SW'!$D105,SUM('TCO TO BE- SW'!L$37:L$46)*VLOOKUP('TCO TO BE- SW'!L$2,MODULY_CBA!$B$3:$L$23,10,0),0),0)</f>
        <v>23222.033846978138</v>
      </c>
      <c r="M105" s="577">
        <f>IFERROR(IF(VLOOKUP(M$2,MODULY_CBA!$B$3:$N$23,13,0)&lt;='TCO TO BE- SW'!$D105,SUM('TCO TO BE- SW'!M$37:M$46)*VLOOKUP('TCO TO BE- SW'!M$2,MODULY_CBA!$B$3:$L$23,10,0),0),0)</f>
        <v>27238.079700514361</v>
      </c>
      <c r="N105" s="577">
        <f>IFERROR(IF(VLOOKUP(N$2,MODULY_CBA!$B$3:$N$23,13,0)&lt;='TCO TO BE- SW'!$D105,SUM('TCO TO BE- SW'!N$37:N$46)*VLOOKUP('TCO TO BE- SW'!N$2,MODULY_CBA!$B$3:$L$23,10,0),0),0)</f>
        <v>12102.777640248607</v>
      </c>
      <c r="O105" s="577">
        <f>IFERROR(IF(VLOOKUP(O$2,MODULY_CBA!$B$3:$N$23,13,0)&lt;='TCO TO BE- SW'!$D105,SUM('TCO TO BE- SW'!O$37:O$46)*VLOOKUP('TCO TO BE- SW'!O$2,MODULY_CBA!$B$3:$L$23,10,0),0),0)</f>
        <v>18167.8264802829</v>
      </c>
      <c r="P105" s="577">
        <f>IFERROR(IF(VLOOKUP(P$2,MODULY_CBA!$B$3:$N$23,13,0)&lt;='TCO TO BE- SW'!$D105,SUM('TCO TO BE- SW'!P$37:P$46)*VLOOKUP('TCO TO BE- SW'!P$2,MODULY_CBA!$B$3:$L$23,10,0),0),0)</f>
        <v>14124.460586926703</v>
      </c>
      <c r="Q105" s="577">
        <f>IFERROR(IF(VLOOKUP(Q$2,MODULY_CBA!$B$3:$N$23,13,0)&lt;='TCO TO BE- SW'!$D105,SUM('TCO TO BE- SW'!Q$37:Q$46)*VLOOKUP('TCO TO BE- SW'!Q$2,MODULY_CBA!$B$3:$L$23,10,0),0),0)</f>
        <v>10081.094693570512</v>
      </c>
      <c r="R105" s="577">
        <f>IFERROR(IF(VLOOKUP(R$2,MODULY_CBA!$B$3:$N$23,13,0)&lt;='TCO TO BE- SW'!$D105,SUM('TCO TO BE- SW'!R$37:R$46)*VLOOKUP('TCO TO BE- SW'!R$2,MODULY_CBA!$B$3:$L$23,10,0),0),0)</f>
        <v>10081.094693570512</v>
      </c>
      <c r="S105" s="577">
        <f>IFERROR(IF(VLOOKUP(S$2,MODULY_CBA!$B$3:$N$23,13,0)&lt;='TCO TO BE- SW'!$D105,SUM('TCO TO BE- SW'!S$37:S$46)*VLOOKUP('TCO TO BE- SW'!S$2,MODULY_CBA!$B$3:$L$23,10,0),0),0)</f>
        <v>15135.302060265749</v>
      </c>
      <c r="T105" s="577">
        <f>IFERROR(IF(VLOOKUP(T$2,MODULY_CBA!$B$3:$N$23,13,0)&lt;='TCO TO BE- SW'!$D105,SUM('TCO TO BE- SW'!T$37:T$46)*VLOOKUP('TCO TO BE- SW'!T$2,MODULY_CBA!$B$3:$L$23,10,0),0),0)</f>
        <v>17156.985006943851</v>
      </c>
      <c r="U105" s="577">
        <f>IFERROR(IF(VLOOKUP(U$2,MODULY_CBA!$B$3:$N$23,13,0)&lt;='TCO TO BE- SW'!$D105,SUM('TCO TO BE- SW'!U$37:U$46)*VLOOKUP('TCO TO BE- SW'!U$2,MODULY_CBA!$B$3:$L$23,10,0),0),0)</f>
        <v>16146.1435336048</v>
      </c>
      <c r="V105" s="577">
        <f>IFERROR(IF(VLOOKUP(V$2,MODULY_CBA!$B$3:$N$23,13,0)&lt;='TCO TO BE- SW'!$D105,SUM('TCO TO BE- SW'!V$37:V$46)*VLOOKUP('TCO TO BE- SW'!V$2,MODULY_CBA!$B$3:$L$23,10,0),0),0)</f>
        <v>8086.7317867123875</v>
      </c>
      <c r="W105" s="577">
        <f>IFERROR(IF(VLOOKUP(W$2,MODULY_CBA!$B$3:$N$23,13,0)&lt;='TCO TO BE- SW'!$D105,SUM('TCO TO BE- SW'!W$37:W$46)*VLOOKUP('TCO TO BE- SW'!W$2,MODULY_CBA!$B$3:$L$23,10,0),0),0)</f>
        <v>14124.460586926703</v>
      </c>
      <c r="X105" s="577">
        <f>IFERROR(IF(VLOOKUP(X$2,MODULY_CBA!$B$3:$N$23,13,0)&lt;='TCO TO BE- SW'!$D105,SUM('TCO TO BE- SW'!X$37:X$46)*VLOOKUP('TCO TO BE- SW'!X$2,MODULY_CBA!$B$3:$L$23,10,0),0),0)</f>
        <v>16146.1435336048</v>
      </c>
      <c r="Y105" s="577">
        <f>IFERROR(IF(VLOOKUP(Y$2,MODULY_CBA!$B$3:$N$23,13,0)&lt;='TCO TO BE- SW'!$D105,SUM('TCO TO BE- SW'!Y$37:Y$46)*VLOOKUP('TCO TO BE- SW'!Y$2,MODULY_CBA!$B$3:$L$23,10,0),0),0)</f>
        <v>6065.0488400342911</v>
      </c>
      <c r="Z105" s="577">
        <f>IFERROR(IF(VLOOKUP(Z$2,MODULY_CBA!$B$3:$N$23,13,0)&lt;='TCO TO BE- SW'!$D105,SUM('TCO TO BE- SW'!Z$37:Z$46)*VLOOKUP('TCO TO BE- SW'!Z$2,MODULY_CBA!$B$3:$L$23,10,0),0),0)</f>
        <v>0</v>
      </c>
    </row>
    <row r="106" spans="1:26" outlineLevel="2">
      <c r="A106" s="807"/>
      <c r="B106" s="808"/>
      <c r="C106" s="808"/>
      <c r="D106" s="64">
        <v>7</v>
      </c>
      <c r="E106" s="68">
        <f t="shared" si="14"/>
        <v>318688.26449999993</v>
      </c>
      <c r="F106" s="577">
        <f>IFERROR(IF(VLOOKUP(F$2,MODULY_CBA!$B$3:$N$23,13,0)&lt;='TCO TO BE- SW'!$D106,SUM('TCO TO BE- SW'!F$37:F$46)*VLOOKUP('TCO TO BE- SW'!F$2,MODULY_CBA!$B$3:$L$23,10,0),0),0)</f>
        <v>49859.072671453061</v>
      </c>
      <c r="G106" s="577">
        <f>IFERROR(IF(VLOOKUP(G$2,MODULY_CBA!$B$3:$N$23,13,0)&lt;='TCO TO BE- SW'!$D106,SUM('TCO TO BE- SW'!G$37:G$46)*VLOOKUP('TCO TO BE- SW'!G$2,MODULY_CBA!$B$3:$L$23,10,0),0),0)</f>
        <v>10791.415728889842</v>
      </c>
      <c r="H106" s="577">
        <f>IFERROR(IF(VLOOKUP(H$2,MODULY_CBA!$B$3:$N$23,13,0)&lt;='TCO TO BE- SW'!$D106,SUM('TCO TO BE- SW'!H$37:H$46)*VLOOKUP('TCO TO BE- SW'!H$2,MODULY_CBA!$B$3:$L$23,10,0),0),0)</f>
        <v>14834.781622246033</v>
      </c>
      <c r="I106" s="577">
        <f>IFERROR(IF(VLOOKUP(I$2,MODULY_CBA!$B$3:$N$23,13,0)&lt;='TCO TO BE- SW'!$D106,SUM('TCO TO BE- SW'!I$37:I$46)*VLOOKUP('TCO TO BE- SW'!I$2,MODULY_CBA!$B$3:$L$23,10,0),0),0)</f>
        <v>19178.667953621945</v>
      </c>
      <c r="J106" s="577">
        <f>IFERROR(IF(VLOOKUP(J$2,MODULY_CBA!$B$3:$N$23,13,0)&lt;='TCO TO BE- SW'!$D106,SUM('TCO TO BE- SW'!J$37:J$46)*VLOOKUP('TCO TO BE- SW'!J$2,MODULY_CBA!$B$3:$L$23,10,0),0),0)</f>
        <v>5054.2073666952419</v>
      </c>
      <c r="K106" s="577">
        <f>IFERROR(IF(VLOOKUP(K$2,MODULY_CBA!$B$3:$N$23,13,0)&lt;='TCO TO BE- SW'!$D106,SUM('TCO TO BE- SW'!K$37:K$46)*VLOOKUP('TCO TO BE- SW'!K$2,MODULY_CBA!$B$3:$L$23,10,0),0),0)</f>
        <v>11091.93616690956</v>
      </c>
      <c r="L106" s="577">
        <f>IFERROR(IF(VLOOKUP(L$2,MODULY_CBA!$B$3:$N$23,13,0)&lt;='TCO TO BE- SW'!$D106,SUM('TCO TO BE- SW'!L$37:L$46)*VLOOKUP('TCO TO BE- SW'!L$2,MODULY_CBA!$B$3:$L$23,10,0),0),0)</f>
        <v>23222.033846978138</v>
      </c>
      <c r="M106" s="577">
        <f>IFERROR(IF(VLOOKUP(M$2,MODULY_CBA!$B$3:$N$23,13,0)&lt;='TCO TO BE- SW'!$D106,SUM('TCO TO BE- SW'!M$37:M$46)*VLOOKUP('TCO TO BE- SW'!M$2,MODULY_CBA!$B$3:$L$23,10,0),0),0)</f>
        <v>27238.079700514361</v>
      </c>
      <c r="N106" s="577">
        <f>IFERROR(IF(VLOOKUP(N$2,MODULY_CBA!$B$3:$N$23,13,0)&lt;='TCO TO BE- SW'!$D106,SUM('TCO TO BE- SW'!N$37:N$46)*VLOOKUP('TCO TO BE- SW'!N$2,MODULY_CBA!$B$3:$L$23,10,0),0),0)</f>
        <v>12102.777640248607</v>
      </c>
      <c r="O106" s="577">
        <f>IFERROR(IF(VLOOKUP(O$2,MODULY_CBA!$B$3:$N$23,13,0)&lt;='TCO TO BE- SW'!$D106,SUM('TCO TO BE- SW'!O$37:O$46)*VLOOKUP('TCO TO BE- SW'!O$2,MODULY_CBA!$B$3:$L$23,10,0),0),0)</f>
        <v>18167.8264802829</v>
      </c>
      <c r="P106" s="577">
        <f>IFERROR(IF(VLOOKUP(P$2,MODULY_CBA!$B$3:$N$23,13,0)&lt;='TCO TO BE- SW'!$D106,SUM('TCO TO BE- SW'!P$37:P$46)*VLOOKUP('TCO TO BE- SW'!P$2,MODULY_CBA!$B$3:$L$23,10,0),0),0)</f>
        <v>14124.460586926703</v>
      </c>
      <c r="Q106" s="577">
        <f>IFERROR(IF(VLOOKUP(Q$2,MODULY_CBA!$B$3:$N$23,13,0)&lt;='TCO TO BE- SW'!$D106,SUM('TCO TO BE- SW'!Q$37:Q$46)*VLOOKUP('TCO TO BE- SW'!Q$2,MODULY_CBA!$B$3:$L$23,10,0),0),0)</f>
        <v>10081.094693570512</v>
      </c>
      <c r="R106" s="577">
        <f>IFERROR(IF(VLOOKUP(R$2,MODULY_CBA!$B$3:$N$23,13,0)&lt;='TCO TO BE- SW'!$D106,SUM('TCO TO BE- SW'!R$37:R$46)*VLOOKUP('TCO TO BE- SW'!R$2,MODULY_CBA!$B$3:$L$23,10,0),0),0)</f>
        <v>10081.094693570512</v>
      </c>
      <c r="S106" s="577">
        <f>IFERROR(IF(VLOOKUP(S$2,MODULY_CBA!$B$3:$N$23,13,0)&lt;='TCO TO BE- SW'!$D106,SUM('TCO TO BE- SW'!S$37:S$46)*VLOOKUP('TCO TO BE- SW'!S$2,MODULY_CBA!$B$3:$L$23,10,0),0),0)</f>
        <v>15135.302060265749</v>
      </c>
      <c r="T106" s="577">
        <f>IFERROR(IF(VLOOKUP(T$2,MODULY_CBA!$B$3:$N$23,13,0)&lt;='TCO TO BE- SW'!$D106,SUM('TCO TO BE- SW'!T$37:T$46)*VLOOKUP('TCO TO BE- SW'!T$2,MODULY_CBA!$B$3:$L$23,10,0),0),0)</f>
        <v>17156.985006943851</v>
      </c>
      <c r="U106" s="577">
        <f>IFERROR(IF(VLOOKUP(U$2,MODULY_CBA!$B$3:$N$23,13,0)&lt;='TCO TO BE- SW'!$D106,SUM('TCO TO BE- SW'!U$37:U$46)*VLOOKUP('TCO TO BE- SW'!U$2,MODULY_CBA!$B$3:$L$23,10,0),0),0)</f>
        <v>16146.1435336048</v>
      </c>
      <c r="V106" s="577">
        <f>IFERROR(IF(VLOOKUP(V$2,MODULY_CBA!$B$3:$N$23,13,0)&lt;='TCO TO BE- SW'!$D106,SUM('TCO TO BE- SW'!V$37:V$46)*VLOOKUP('TCO TO BE- SW'!V$2,MODULY_CBA!$B$3:$L$23,10,0),0),0)</f>
        <v>8086.7317867123875</v>
      </c>
      <c r="W106" s="577">
        <f>IFERROR(IF(VLOOKUP(W$2,MODULY_CBA!$B$3:$N$23,13,0)&lt;='TCO TO BE- SW'!$D106,SUM('TCO TO BE- SW'!W$37:W$46)*VLOOKUP('TCO TO BE- SW'!W$2,MODULY_CBA!$B$3:$L$23,10,0),0),0)</f>
        <v>14124.460586926703</v>
      </c>
      <c r="X106" s="577">
        <f>IFERROR(IF(VLOOKUP(X$2,MODULY_CBA!$B$3:$N$23,13,0)&lt;='TCO TO BE- SW'!$D106,SUM('TCO TO BE- SW'!X$37:X$46)*VLOOKUP('TCO TO BE- SW'!X$2,MODULY_CBA!$B$3:$L$23,10,0),0),0)</f>
        <v>16146.1435336048</v>
      </c>
      <c r="Y106" s="577">
        <f>IFERROR(IF(VLOOKUP(Y$2,MODULY_CBA!$B$3:$N$23,13,0)&lt;='TCO TO BE- SW'!$D106,SUM('TCO TO BE- SW'!Y$37:Y$46)*VLOOKUP('TCO TO BE- SW'!Y$2,MODULY_CBA!$B$3:$L$23,10,0),0),0)</f>
        <v>6065.0488400342911</v>
      </c>
      <c r="Z106" s="577">
        <f>IFERROR(IF(VLOOKUP(Z$2,MODULY_CBA!$B$3:$N$23,13,0)&lt;='TCO TO BE- SW'!$D106,SUM('TCO TO BE- SW'!Z$37:Z$46)*VLOOKUP('TCO TO BE- SW'!Z$2,MODULY_CBA!$B$3:$L$23,10,0),0),0)</f>
        <v>0</v>
      </c>
    </row>
    <row r="107" spans="1:26" outlineLevel="2">
      <c r="A107" s="807"/>
      <c r="B107" s="808"/>
      <c r="C107" s="808"/>
      <c r="D107" s="64">
        <v>8</v>
      </c>
      <c r="E107" s="68">
        <f t="shared" si="14"/>
        <v>318688.26449999993</v>
      </c>
      <c r="F107" s="577">
        <f>IFERROR(IF(VLOOKUP(F$2,MODULY_CBA!$B$3:$N$23,13,0)&lt;='TCO TO BE- SW'!$D107,SUM('TCO TO BE- SW'!F$37:F$46)*VLOOKUP('TCO TO BE- SW'!F$2,MODULY_CBA!$B$3:$L$23,10,0),0),0)</f>
        <v>49859.072671453061</v>
      </c>
      <c r="G107" s="577">
        <f>IFERROR(IF(VLOOKUP(G$2,MODULY_CBA!$B$3:$N$23,13,0)&lt;='TCO TO BE- SW'!$D107,SUM('TCO TO BE- SW'!G$37:G$46)*VLOOKUP('TCO TO BE- SW'!G$2,MODULY_CBA!$B$3:$L$23,10,0),0),0)</f>
        <v>10791.415728889842</v>
      </c>
      <c r="H107" s="577">
        <f>IFERROR(IF(VLOOKUP(H$2,MODULY_CBA!$B$3:$N$23,13,0)&lt;='TCO TO BE- SW'!$D107,SUM('TCO TO BE- SW'!H$37:H$46)*VLOOKUP('TCO TO BE- SW'!H$2,MODULY_CBA!$B$3:$L$23,10,0),0),0)</f>
        <v>14834.781622246033</v>
      </c>
      <c r="I107" s="577">
        <f>IFERROR(IF(VLOOKUP(I$2,MODULY_CBA!$B$3:$N$23,13,0)&lt;='TCO TO BE- SW'!$D107,SUM('TCO TO BE- SW'!I$37:I$46)*VLOOKUP('TCO TO BE- SW'!I$2,MODULY_CBA!$B$3:$L$23,10,0),0),0)</f>
        <v>19178.667953621945</v>
      </c>
      <c r="J107" s="577">
        <f>IFERROR(IF(VLOOKUP(J$2,MODULY_CBA!$B$3:$N$23,13,0)&lt;='TCO TO BE- SW'!$D107,SUM('TCO TO BE- SW'!J$37:J$46)*VLOOKUP('TCO TO BE- SW'!J$2,MODULY_CBA!$B$3:$L$23,10,0),0),0)</f>
        <v>5054.2073666952419</v>
      </c>
      <c r="K107" s="577">
        <f>IFERROR(IF(VLOOKUP(K$2,MODULY_CBA!$B$3:$N$23,13,0)&lt;='TCO TO BE- SW'!$D107,SUM('TCO TO BE- SW'!K$37:K$46)*VLOOKUP('TCO TO BE- SW'!K$2,MODULY_CBA!$B$3:$L$23,10,0),0),0)</f>
        <v>11091.93616690956</v>
      </c>
      <c r="L107" s="577">
        <f>IFERROR(IF(VLOOKUP(L$2,MODULY_CBA!$B$3:$N$23,13,0)&lt;='TCO TO BE- SW'!$D107,SUM('TCO TO BE- SW'!L$37:L$46)*VLOOKUP('TCO TO BE- SW'!L$2,MODULY_CBA!$B$3:$L$23,10,0),0),0)</f>
        <v>23222.033846978138</v>
      </c>
      <c r="M107" s="577">
        <f>IFERROR(IF(VLOOKUP(M$2,MODULY_CBA!$B$3:$N$23,13,0)&lt;='TCO TO BE- SW'!$D107,SUM('TCO TO BE- SW'!M$37:M$46)*VLOOKUP('TCO TO BE- SW'!M$2,MODULY_CBA!$B$3:$L$23,10,0),0),0)</f>
        <v>27238.079700514361</v>
      </c>
      <c r="N107" s="577">
        <f>IFERROR(IF(VLOOKUP(N$2,MODULY_CBA!$B$3:$N$23,13,0)&lt;='TCO TO BE- SW'!$D107,SUM('TCO TO BE- SW'!N$37:N$46)*VLOOKUP('TCO TO BE- SW'!N$2,MODULY_CBA!$B$3:$L$23,10,0),0),0)</f>
        <v>12102.777640248607</v>
      </c>
      <c r="O107" s="577">
        <f>IFERROR(IF(VLOOKUP(O$2,MODULY_CBA!$B$3:$N$23,13,0)&lt;='TCO TO BE- SW'!$D107,SUM('TCO TO BE- SW'!O$37:O$46)*VLOOKUP('TCO TO BE- SW'!O$2,MODULY_CBA!$B$3:$L$23,10,0),0),0)</f>
        <v>18167.8264802829</v>
      </c>
      <c r="P107" s="577">
        <f>IFERROR(IF(VLOOKUP(P$2,MODULY_CBA!$B$3:$N$23,13,0)&lt;='TCO TO BE- SW'!$D107,SUM('TCO TO BE- SW'!P$37:P$46)*VLOOKUP('TCO TO BE- SW'!P$2,MODULY_CBA!$B$3:$L$23,10,0),0),0)</f>
        <v>14124.460586926703</v>
      </c>
      <c r="Q107" s="577">
        <f>IFERROR(IF(VLOOKUP(Q$2,MODULY_CBA!$B$3:$N$23,13,0)&lt;='TCO TO BE- SW'!$D107,SUM('TCO TO BE- SW'!Q$37:Q$46)*VLOOKUP('TCO TO BE- SW'!Q$2,MODULY_CBA!$B$3:$L$23,10,0),0),0)</f>
        <v>10081.094693570512</v>
      </c>
      <c r="R107" s="577">
        <f>IFERROR(IF(VLOOKUP(R$2,MODULY_CBA!$B$3:$N$23,13,0)&lt;='TCO TO BE- SW'!$D107,SUM('TCO TO BE- SW'!R$37:R$46)*VLOOKUP('TCO TO BE- SW'!R$2,MODULY_CBA!$B$3:$L$23,10,0),0),0)</f>
        <v>10081.094693570512</v>
      </c>
      <c r="S107" s="577">
        <f>IFERROR(IF(VLOOKUP(S$2,MODULY_CBA!$B$3:$N$23,13,0)&lt;='TCO TO BE- SW'!$D107,SUM('TCO TO BE- SW'!S$37:S$46)*VLOOKUP('TCO TO BE- SW'!S$2,MODULY_CBA!$B$3:$L$23,10,0),0),0)</f>
        <v>15135.302060265749</v>
      </c>
      <c r="T107" s="577">
        <f>IFERROR(IF(VLOOKUP(T$2,MODULY_CBA!$B$3:$N$23,13,0)&lt;='TCO TO BE- SW'!$D107,SUM('TCO TO BE- SW'!T$37:T$46)*VLOOKUP('TCO TO BE- SW'!T$2,MODULY_CBA!$B$3:$L$23,10,0),0),0)</f>
        <v>17156.985006943851</v>
      </c>
      <c r="U107" s="577">
        <f>IFERROR(IF(VLOOKUP(U$2,MODULY_CBA!$B$3:$N$23,13,0)&lt;='TCO TO BE- SW'!$D107,SUM('TCO TO BE- SW'!U$37:U$46)*VLOOKUP('TCO TO BE- SW'!U$2,MODULY_CBA!$B$3:$L$23,10,0),0),0)</f>
        <v>16146.1435336048</v>
      </c>
      <c r="V107" s="577">
        <f>IFERROR(IF(VLOOKUP(V$2,MODULY_CBA!$B$3:$N$23,13,0)&lt;='TCO TO BE- SW'!$D107,SUM('TCO TO BE- SW'!V$37:V$46)*VLOOKUP('TCO TO BE- SW'!V$2,MODULY_CBA!$B$3:$L$23,10,0),0),0)</f>
        <v>8086.7317867123875</v>
      </c>
      <c r="W107" s="577">
        <f>IFERROR(IF(VLOOKUP(W$2,MODULY_CBA!$B$3:$N$23,13,0)&lt;='TCO TO BE- SW'!$D107,SUM('TCO TO BE- SW'!W$37:W$46)*VLOOKUP('TCO TO BE- SW'!W$2,MODULY_CBA!$B$3:$L$23,10,0),0),0)</f>
        <v>14124.460586926703</v>
      </c>
      <c r="X107" s="577">
        <f>IFERROR(IF(VLOOKUP(X$2,MODULY_CBA!$B$3:$N$23,13,0)&lt;='TCO TO BE- SW'!$D107,SUM('TCO TO BE- SW'!X$37:X$46)*VLOOKUP('TCO TO BE- SW'!X$2,MODULY_CBA!$B$3:$L$23,10,0),0),0)</f>
        <v>16146.1435336048</v>
      </c>
      <c r="Y107" s="577">
        <f>IFERROR(IF(VLOOKUP(Y$2,MODULY_CBA!$B$3:$N$23,13,0)&lt;='TCO TO BE- SW'!$D107,SUM('TCO TO BE- SW'!Y$37:Y$46)*VLOOKUP('TCO TO BE- SW'!Y$2,MODULY_CBA!$B$3:$L$23,10,0),0),0)</f>
        <v>6065.0488400342911</v>
      </c>
      <c r="Z107" s="577">
        <f>IFERROR(IF(VLOOKUP(Z$2,MODULY_CBA!$B$3:$N$23,13,0)&lt;='TCO TO BE- SW'!$D107,SUM('TCO TO BE- SW'!Z$37:Z$46)*VLOOKUP('TCO TO BE- SW'!Z$2,MODULY_CBA!$B$3:$L$23,10,0),0),0)</f>
        <v>0</v>
      </c>
    </row>
    <row r="108" spans="1:26" outlineLevel="2">
      <c r="A108" s="807"/>
      <c r="B108" s="808"/>
      <c r="C108" s="808"/>
      <c r="D108" s="64">
        <v>9</v>
      </c>
      <c r="E108" s="68">
        <f t="shared" si="14"/>
        <v>318688.26449999993</v>
      </c>
      <c r="F108" s="577">
        <f>IFERROR(IF(VLOOKUP(F$2,MODULY_CBA!$B$3:$N$23,13,0)&lt;='TCO TO BE- SW'!$D108,SUM('TCO TO BE- SW'!F$37:F$46)*VLOOKUP('TCO TO BE- SW'!F$2,MODULY_CBA!$B$3:$L$23,10,0),0),0)</f>
        <v>49859.072671453061</v>
      </c>
      <c r="G108" s="577">
        <f>IFERROR(IF(VLOOKUP(G$2,MODULY_CBA!$B$3:$N$23,13,0)&lt;='TCO TO BE- SW'!$D108,SUM('TCO TO BE- SW'!G$37:G$46)*VLOOKUP('TCO TO BE- SW'!G$2,MODULY_CBA!$B$3:$L$23,10,0),0),0)</f>
        <v>10791.415728889842</v>
      </c>
      <c r="H108" s="577">
        <f>IFERROR(IF(VLOOKUP(H$2,MODULY_CBA!$B$3:$N$23,13,0)&lt;='TCO TO BE- SW'!$D108,SUM('TCO TO BE- SW'!H$37:H$46)*VLOOKUP('TCO TO BE- SW'!H$2,MODULY_CBA!$B$3:$L$23,10,0),0),0)</f>
        <v>14834.781622246033</v>
      </c>
      <c r="I108" s="577">
        <f>IFERROR(IF(VLOOKUP(I$2,MODULY_CBA!$B$3:$N$23,13,0)&lt;='TCO TO BE- SW'!$D108,SUM('TCO TO BE- SW'!I$37:I$46)*VLOOKUP('TCO TO BE- SW'!I$2,MODULY_CBA!$B$3:$L$23,10,0),0),0)</f>
        <v>19178.667953621945</v>
      </c>
      <c r="J108" s="577">
        <f>IFERROR(IF(VLOOKUP(J$2,MODULY_CBA!$B$3:$N$23,13,0)&lt;='TCO TO BE- SW'!$D108,SUM('TCO TO BE- SW'!J$37:J$46)*VLOOKUP('TCO TO BE- SW'!J$2,MODULY_CBA!$B$3:$L$23,10,0),0),0)</f>
        <v>5054.2073666952419</v>
      </c>
      <c r="K108" s="577">
        <f>IFERROR(IF(VLOOKUP(K$2,MODULY_CBA!$B$3:$N$23,13,0)&lt;='TCO TO BE- SW'!$D108,SUM('TCO TO BE- SW'!K$37:K$46)*VLOOKUP('TCO TO BE- SW'!K$2,MODULY_CBA!$B$3:$L$23,10,0),0),0)</f>
        <v>11091.93616690956</v>
      </c>
      <c r="L108" s="577">
        <f>IFERROR(IF(VLOOKUP(L$2,MODULY_CBA!$B$3:$N$23,13,0)&lt;='TCO TO BE- SW'!$D108,SUM('TCO TO BE- SW'!L$37:L$46)*VLOOKUP('TCO TO BE- SW'!L$2,MODULY_CBA!$B$3:$L$23,10,0),0),0)</f>
        <v>23222.033846978138</v>
      </c>
      <c r="M108" s="577">
        <f>IFERROR(IF(VLOOKUP(M$2,MODULY_CBA!$B$3:$N$23,13,0)&lt;='TCO TO BE- SW'!$D108,SUM('TCO TO BE- SW'!M$37:M$46)*VLOOKUP('TCO TO BE- SW'!M$2,MODULY_CBA!$B$3:$L$23,10,0),0),0)</f>
        <v>27238.079700514361</v>
      </c>
      <c r="N108" s="577">
        <f>IFERROR(IF(VLOOKUP(N$2,MODULY_CBA!$B$3:$N$23,13,0)&lt;='TCO TO BE- SW'!$D108,SUM('TCO TO BE- SW'!N$37:N$46)*VLOOKUP('TCO TO BE- SW'!N$2,MODULY_CBA!$B$3:$L$23,10,0),0),0)</f>
        <v>12102.777640248607</v>
      </c>
      <c r="O108" s="577">
        <f>IFERROR(IF(VLOOKUP(O$2,MODULY_CBA!$B$3:$N$23,13,0)&lt;='TCO TO BE- SW'!$D108,SUM('TCO TO BE- SW'!O$37:O$46)*VLOOKUP('TCO TO BE- SW'!O$2,MODULY_CBA!$B$3:$L$23,10,0),0),0)</f>
        <v>18167.8264802829</v>
      </c>
      <c r="P108" s="577">
        <f>IFERROR(IF(VLOOKUP(P$2,MODULY_CBA!$B$3:$N$23,13,0)&lt;='TCO TO BE- SW'!$D108,SUM('TCO TO BE- SW'!P$37:P$46)*VLOOKUP('TCO TO BE- SW'!P$2,MODULY_CBA!$B$3:$L$23,10,0),0),0)</f>
        <v>14124.460586926703</v>
      </c>
      <c r="Q108" s="577">
        <f>IFERROR(IF(VLOOKUP(Q$2,MODULY_CBA!$B$3:$N$23,13,0)&lt;='TCO TO BE- SW'!$D108,SUM('TCO TO BE- SW'!Q$37:Q$46)*VLOOKUP('TCO TO BE- SW'!Q$2,MODULY_CBA!$B$3:$L$23,10,0),0),0)</f>
        <v>10081.094693570512</v>
      </c>
      <c r="R108" s="577">
        <f>IFERROR(IF(VLOOKUP(R$2,MODULY_CBA!$B$3:$N$23,13,0)&lt;='TCO TO BE- SW'!$D108,SUM('TCO TO BE- SW'!R$37:R$46)*VLOOKUP('TCO TO BE- SW'!R$2,MODULY_CBA!$B$3:$L$23,10,0),0),0)</f>
        <v>10081.094693570512</v>
      </c>
      <c r="S108" s="577">
        <f>IFERROR(IF(VLOOKUP(S$2,MODULY_CBA!$B$3:$N$23,13,0)&lt;='TCO TO BE- SW'!$D108,SUM('TCO TO BE- SW'!S$37:S$46)*VLOOKUP('TCO TO BE- SW'!S$2,MODULY_CBA!$B$3:$L$23,10,0),0),0)</f>
        <v>15135.302060265749</v>
      </c>
      <c r="T108" s="577">
        <f>IFERROR(IF(VLOOKUP(T$2,MODULY_CBA!$B$3:$N$23,13,0)&lt;='TCO TO BE- SW'!$D108,SUM('TCO TO BE- SW'!T$37:T$46)*VLOOKUP('TCO TO BE- SW'!T$2,MODULY_CBA!$B$3:$L$23,10,0),0),0)</f>
        <v>17156.985006943851</v>
      </c>
      <c r="U108" s="577">
        <f>IFERROR(IF(VLOOKUP(U$2,MODULY_CBA!$B$3:$N$23,13,0)&lt;='TCO TO BE- SW'!$D108,SUM('TCO TO BE- SW'!U$37:U$46)*VLOOKUP('TCO TO BE- SW'!U$2,MODULY_CBA!$B$3:$L$23,10,0),0),0)</f>
        <v>16146.1435336048</v>
      </c>
      <c r="V108" s="577">
        <f>IFERROR(IF(VLOOKUP(V$2,MODULY_CBA!$B$3:$N$23,13,0)&lt;='TCO TO BE- SW'!$D108,SUM('TCO TO BE- SW'!V$37:V$46)*VLOOKUP('TCO TO BE- SW'!V$2,MODULY_CBA!$B$3:$L$23,10,0),0),0)</f>
        <v>8086.7317867123875</v>
      </c>
      <c r="W108" s="577">
        <f>IFERROR(IF(VLOOKUP(W$2,MODULY_CBA!$B$3:$N$23,13,0)&lt;='TCO TO BE- SW'!$D108,SUM('TCO TO BE- SW'!W$37:W$46)*VLOOKUP('TCO TO BE- SW'!W$2,MODULY_CBA!$B$3:$L$23,10,0),0),0)</f>
        <v>14124.460586926703</v>
      </c>
      <c r="X108" s="577">
        <f>IFERROR(IF(VLOOKUP(X$2,MODULY_CBA!$B$3:$N$23,13,0)&lt;='TCO TO BE- SW'!$D108,SUM('TCO TO BE- SW'!X$37:X$46)*VLOOKUP('TCO TO BE- SW'!X$2,MODULY_CBA!$B$3:$L$23,10,0),0),0)</f>
        <v>16146.1435336048</v>
      </c>
      <c r="Y108" s="577">
        <f>IFERROR(IF(VLOOKUP(Y$2,MODULY_CBA!$B$3:$N$23,13,0)&lt;='TCO TO BE- SW'!$D108,SUM('TCO TO BE- SW'!Y$37:Y$46)*VLOOKUP('TCO TO BE- SW'!Y$2,MODULY_CBA!$B$3:$L$23,10,0),0),0)</f>
        <v>6065.0488400342911</v>
      </c>
      <c r="Z108" s="577">
        <f>IFERROR(IF(VLOOKUP(Z$2,MODULY_CBA!$B$3:$N$23,13,0)&lt;='TCO TO BE- SW'!$D108,SUM('TCO TO BE- SW'!Z$37:Z$46)*VLOOKUP('TCO TO BE- SW'!Z$2,MODULY_CBA!$B$3:$L$23,10,0),0),0)</f>
        <v>0</v>
      </c>
    </row>
    <row r="109" spans="1:26" ht="15.75" outlineLevel="2" thickBot="1">
      <c r="A109" s="807"/>
      <c r="B109" s="808"/>
      <c r="C109" s="808"/>
      <c r="D109" s="65">
        <v>10</v>
      </c>
      <c r="E109" s="69">
        <f t="shared" si="14"/>
        <v>318688.26449999993</v>
      </c>
      <c r="F109" s="577">
        <f>IFERROR(IF(VLOOKUP(F$2,MODULY_CBA!$B$3:$N$23,13,0)&lt;='TCO TO BE- SW'!$D109,SUM('TCO TO BE- SW'!F$37:F$46)*VLOOKUP('TCO TO BE- SW'!F$2,MODULY_CBA!$B$3:$L$23,10,0),0),0)</f>
        <v>49859.072671453061</v>
      </c>
      <c r="G109" s="577">
        <f>IFERROR(IF(VLOOKUP(G$2,MODULY_CBA!$B$3:$N$23,13,0)&lt;='TCO TO BE- SW'!$D109,SUM('TCO TO BE- SW'!G$37:G$46)*VLOOKUP('TCO TO BE- SW'!G$2,MODULY_CBA!$B$3:$L$23,10,0),0),0)</f>
        <v>10791.415728889842</v>
      </c>
      <c r="H109" s="577">
        <f>IFERROR(IF(VLOOKUP(H$2,MODULY_CBA!$B$3:$N$23,13,0)&lt;='TCO TO BE- SW'!$D109,SUM('TCO TO BE- SW'!H$37:H$46)*VLOOKUP('TCO TO BE- SW'!H$2,MODULY_CBA!$B$3:$L$23,10,0),0),0)</f>
        <v>14834.781622246033</v>
      </c>
      <c r="I109" s="577">
        <f>IFERROR(IF(VLOOKUP(I$2,MODULY_CBA!$B$3:$N$23,13,0)&lt;='TCO TO BE- SW'!$D109,SUM('TCO TO BE- SW'!I$37:I$46)*VLOOKUP('TCO TO BE- SW'!I$2,MODULY_CBA!$B$3:$L$23,10,0),0),0)</f>
        <v>19178.667953621945</v>
      </c>
      <c r="J109" s="577">
        <f>IFERROR(IF(VLOOKUP(J$2,MODULY_CBA!$B$3:$N$23,13,0)&lt;='TCO TO BE- SW'!$D109,SUM('TCO TO BE- SW'!J$37:J$46)*VLOOKUP('TCO TO BE- SW'!J$2,MODULY_CBA!$B$3:$L$23,10,0),0),0)</f>
        <v>5054.2073666952419</v>
      </c>
      <c r="K109" s="577">
        <f>IFERROR(IF(VLOOKUP(K$2,MODULY_CBA!$B$3:$N$23,13,0)&lt;='TCO TO BE- SW'!$D109,SUM('TCO TO BE- SW'!K$37:K$46)*VLOOKUP('TCO TO BE- SW'!K$2,MODULY_CBA!$B$3:$L$23,10,0),0),0)</f>
        <v>11091.93616690956</v>
      </c>
      <c r="L109" s="577">
        <f>IFERROR(IF(VLOOKUP(L$2,MODULY_CBA!$B$3:$N$23,13,0)&lt;='TCO TO BE- SW'!$D109,SUM('TCO TO BE- SW'!L$37:L$46)*VLOOKUP('TCO TO BE- SW'!L$2,MODULY_CBA!$B$3:$L$23,10,0),0),0)</f>
        <v>23222.033846978138</v>
      </c>
      <c r="M109" s="577">
        <f>IFERROR(IF(VLOOKUP(M$2,MODULY_CBA!$B$3:$N$23,13,0)&lt;='TCO TO BE- SW'!$D109,SUM('TCO TO BE- SW'!M$37:M$46)*VLOOKUP('TCO TO BE- SW'!M$2,MODULY_CBA!$B$3:$L$23,10,0),0),0)</f>
        <v>27238.079700514361</v>
      </c>
      <c r="N109" s="577">
        <f>IFERROR(IF(VLOOKUP(N$2,MODULY_CBA!$B$3:$N$23,13,0)&lt;='TCO TO BE- SW'!$D109,SUM('TCO TO BE- SW'!N$37:N$46)*VLOOKUP('TCO TO BE- SW'!N$2,MODULY_CBA!$B$3:$L$23,10,0),0),0)</f>
        <v>12102.777640248607</v>
      </c>
      <c r="O109" s="577">
        <f>IFERROR(IF(VLOOKUP(O$2,MODULY_CBA!$B$3:$N$23,13,0)&lt;='TCO TO BE- SW'!$D109,SUM('TCO TO BE- SW'!O$37:O$46)*VLOOKUP('TCO TO BE- SW'!O$2,MODULY_CBA!$B$3:$L$23,10,0),0),0)</f>
        <v>18167.8264802829</v>
      </c>
      <c r="P109" s="577">
        <f>IFERROR(IF(VLOOKUP(P$2,MODULY_CBA!$B$3:$N$23,13,0)&lt;='TCO TO BE- SW'!$D109,SUM('TCO TO BE- SW'!P$37:P$46)*VLOOKUP('TCO TO BE- SW'!P$2,MODULY_CBA!$B$3:$L$23,10,0),0),0)</f>
        <v>14124.460586926703</v>
      </c>
      <c r="Q109" s="577">
        <f>IFERROR(IF(VLOOKUP(Q$2,MODULY_CBA!$B$3:$N$23,13,0)&lt;='TCO TO BE- SW'!$D109,SUM('TCO TO BE- SW'!Q$37:Q$46)*VLOOKUP('TCO TO BE- SW'!Q$2,MODULY_CBA!$B$3:$L$23,10,0),0),0)</f>
        <v>10081.094693570512</v>
      </c>
      <c r="R109" s="577">
        <f>IFERROR(IF(VLOOKUP(R$2,MODULY_CBA!$B$3:$N$23,13,0)&lt;='TCO TO BE- SW'!$D109,SUM('TCO TO BE- SW'!R$37:R$46)*VLOOKUP('TCO TO BE- SW'!R$2,MODULY_CBA!$B$3:$L$23,10,0),0),0)</f>
        <v>10081.094693570512</v>
      </c>
      <c r="S109" s="577">
        <f>IFERROR(IF(VLOOKUP(S$2,MODULY_CBA!$B$3:$N$23,13,0)&lt;='TCO TO BE- SW'!$D109,SUM('TCO TO BE- SW'!S$37:S$46)*VLOOKUP('TCO TO BE- SW'!S$2,MODULY_CBA!$B$3:$L$23,10,0),0),0)</f>
        <v>15135.302060265749</v>
      </c>
      <c r="T109" s="577">
        <f>IFERROR(IF(VLOOKUP(T$2,MODULY_CBA!$B$3:$N$23,13,0)&lt;='TCO TO BE- SW'!$D109,SUM('TCO TO BE- SW'!T$37:T$46)*VLOOKUP('TCO TO BE- SW'!T$2,MODULY_CBA!$B$3:$L$23,10,0),0),0)</f>
        <v>17156.985006943851</v>
      </c>
      <c r="U109" s="577">
        <f>IFERROR(IF(VLOOKUP(U$2,MODULY_CBA!$B$3:$N$23,13,0)&lt;='TCO TO BE- SW'!$D109,SUM('TCO TO BE- SW'!U$37:U$46)*VLOOKUP('TCO TO BE- SW'!U$2,MODULY_CBA!$B$3:$L$23,10,0),0),0)</f>
        <v>16146.1435336048</v>
      </c>
      <c r="V109" s="577">
        <f>IFERROR(IF(VLOOKUP(V$2,MODULY_CBA!$B$3:$N$23,13,0)&lt;='TCO TO BE- SW'!$D109,SUM('TCO TO BE- SW'!V$37:V$46)*VLOOKUP('TCO TO BE- SW'!V$2,MODULY_CBA!$B$3:$L$23,10,0),0),0)</f>
        <v>8086.7317867123875</v>
      </c>
      <c r="W109" s="577">
        <f>IFERROR(IF(VLOOKUP(W$2,MODULY_CBA!$B$3:$N$23,13,0)&lt;='TCO TO BE- SW'!$D109,SUM('TCO TO BE- SW'!W$37:W$46)*VLOOKUP('TCO TO BE- SW'!W$2,MODULY_CBA!$B$3:$L$23,10,0),0),0)</f>
        <v>14124.460586926703</v>
      </c>
      <c r="X109" s="577">
        <f>IFERROR(IF(VLOOKUP(X$2,MODULY_CBA!$B$3:$N$23,13,0)&lt;='TCO TO BE- SW'!$D109,SUM('TCO TO BE- SW'!X$37:X$46)*VLOOKUP('TCO TO BE- SW'!X$2,MODULY_CBA!$B$3:$L$23,10,0),0),0)</f>
        <v>16146.1435336048</v>
      </c>
      <c r="Y109" s="577">
        <f>IFERROR(IF(VLOOKUP(Y$2,MODULY_CBA!$B$3:$N$23,13,0)&lt;='TCO TO BE- SW'!$D109,SUM('TCO TO BE- SW'!Y$37:Y$46)*VLOOKUP('TCO TO BE- SW'!Y$2,MODULY_CBA!$B$3:$L$23,10,0),0),0)</f>
        <v>6065.0488400342911</v>
      </c>
      <c r="Z109" s="577">
        <f>IFERROR(IF(VLOOKUP(Z$2,MODULY_CBA!$B$3:$N$23,13,0)&lt;='TCO TO BE- SW'!$D109,SUM('TCO TO BE- SW'!Z$37:Z$46)*VLOOKUP('TCO TO BE- SW'!Z$2,MODULY_CBA!$B$3:$L$23,10,0),0),0)</f>
        <v>0</v>
      </c>
    </row>
    <row r="110" spans="1:26" outlineLevel="2">
      <c r="A110" s="807" t="s">
        <v>84</v>
      </c>
      <c r="B110" s="808" t="s">
        <v>81</v>
      </c>
      <c r="C110" s="808">
        <v>635009</v>
      </c>
      <c r="D110" s="63">
        <v>1</v>
      </c>
      <c r="E110" s="68">
        <f t="shared" si="14"/>
        <v>0</v>
      </c>
      <c r="F110" s="567">
        <v>0</v>
      </c>
      <c r="G110" s="567">
        <v>0</v>
      </c>
      <c r="H110" s="567">
        <v>0</v>
      </c>
      <c r="I110" s="567">
        <v>0</v>
      </c>
      <c r="J110" s="567">
        <v>0</v>
      </c>
      <c r="K110" s="567">
        <v>0</v>
      </c>
      <c r="L110" s="567">
        <v>0</v>
      </c>
      <c r="M110" s="567">
        <v>0</v>
      </c>
      <c r="N110" s="567">
        <v>0</v>
      </c>
      <c r="O110" s="567">
        <v>0</v>
      </c>
      <c r="P110" s="567">
        <v>0</v>
      </c>
      <c r="Q110" s="567">
        <v>0</v>
      </c>
      <c r="R110" s="567">
        <v>0</v>
      </c>
      <c r="S110" s="567">
        <v>0</v>
      </c>
      <c r="T110" s="567">
        <v>0</v>
      </c>
      <c r="U110" s="567">
        <v>0</v>
      </c>
      <c r="V110" s="567">
        <v>0</v>
      </c>
      <c r="W110" s="567">
        <v>0</v>
      </c>
      <c r="X110" s="567">
        <v>0</v>
      </c>
      <c r="Y110" s="567">
        <v>0</v>
      </c>
      <c r="Z110" s="567">
        <v>0</v>
      </c>
    </row>
    <row r="111" spans="1:26" outlineLevel="2">
      <c r="A111" s="807"/>
      <c r="B111" s="808"/>
      <c r="C111" s="808"/>
      <c r="D111" s="64">
        <v>2</v>
      </c>
      <c r="E111" s="68">
        <f t="shared" si="14"/>
        <v>0</v>
      </c>
      <c r="F111" s="568">
        <v>0</v>
      </c>
      <c r="G111" s="568">
        <v>0</v>
      </c>
      <c r="H111" s="568">
        <v>0</v>
      </c>
      <c r="I111" s="568">
        <v>0</v>
      </c>
      <c r="J111" s="568">
        <v>0</v>
      </c>
      <c r="K111" s="568">
        <v>0</v>
      </c>
      <c r="L111" s="568">
        <v>0</v>
      </c>
      <c r="M111" s="568">
        <v>0</v>
      </c>
      <c r="N111" s="568">
        <v>0</v>
      </c>
      <c r="O111" s="568">
        <v>0</v>
      </c>
      <c r="P111" s="568">
        <v>0</v>
      </c>
      <c r="Q111" s="568">
        <v>0</v>
      </c>
      <c r="R111" s="568">
        <v>0</v>
      </c>
      <c r="S111" s="568">
        <v>0</v>
      </c>
      <c r="T111" s="568">
        <v>0</v>
      </c>
      <c r="U111" s="568">
        <v>0</v>
      </c>
      <c r="V111" s="568">
        <v>0</v>
      </c>
      <c r="W111" s="568">
        <v>0</v>
      </c>
      <c r="X111" s="568">
        <v>0</v>
      </c>
      <c r="Y111" s="568">
        <v>0</v>
      </c>
      <c r="Z111" s="568">
        <v>0</v>
      </c>
    </row>
    <row r="112" spans="1:26" outlineLevel="2">
      <c r="A112" s="807"/>
      <c r="B112" s="808"/>
      <c r="C112" s="808"/>
      <c r="D112" s="64">
        <v>3</v>
      </c>
      <c r="E112" s="68">
        <f t="shared" si="14"/>
        <v>0</v>
      </c>
      <c r="F112" s="568">
        <v>0</v>
      </c>
      <c r="G112" s="568">
        <v>0</v>
      </c>
      <c r="H112" s="568">
        <v>0</v>
      </c>
      <c r="I112" s="568">
        <v>0</v>
      </c>
      <c r="J112" s="568">
        <v>0</v>
      </c>
      <c r="K112" s="568">
        <v>0</v>
      </c>
      <c r="L112" s="568">
        <v>0</v>
      </c>
      <c r="M112" s="568">
        <v>0</v>
      </c>
      <c r="N112" s="568">
        <v>0</v>
      </c>
      <c r="O112" s="568">
        <v>0</v>
      </c>
      <c r="P112" s="568">
        <v>0</v>
      </c>
      <c r="Q112" s="568">
        <v>0</v>
      </c>
      <c r="R112" s="568">
        <v>0</v>
      </c>
      <c r="S112" s="568">
        <v>0</v>
      </c>
      <c r="T112" s="568">
        <v>0</v>
      </c>
      <c r="U112" s="568">
        <v>0</v>
      </c>
      <c r="V112" s="568">
        <v>0</v>
      </c>
      <c r="W112" s="568">
        <v>0</v>
      </c>
      <c r="X112" s="568">
        <v>0</v>
      </c>
      <c r="Y112" s="568">
        <v>0</v>
      </c>
      <c r="Z112" s="568">
        <v>0</v>
      </c>
    </row>
    <row r="113" spans="1:26" outlineLevel="2">
      <c r="A113" s="807"/>
      <c r="B113" s="808"/>
      <c r="C113" s="808"/>
      <c r="D113" s="64">
        <v>4</v>
      </c>
      <c r="E113" s="68">
        <f t="shared" si="14"/>
        <v>0</v>
      </c>
      <c r="F113" s="568">
        <v>0</v>
      </c>
      <c r="G113" s="568">
        <v>0</v>
      </c>
      <c r="H113" s="568">
        <v>0</v>
      </c>
      <c r="I113" s="568">
        <v>0</v>
      </c>
      <c r="J113" s="568">
        <v>0</v>
      </c>
      <c r="K113" s="568">
        <v>0</v>
      </c>
      <c r="L113" s="568">
        <v>0</v>
      </c>
      <c r="M113" s="568">
        <v>0</v>
      </c>
      <c r="N113" s="568">
        <v>0</v>
      </c>
      <c r="O113" s="568">
        <v>0</v>
      </c>
      <c r="P113" s="568">
        <v>0</v>
      </c>
      <c r="Q113" s="568">
        <v>0</v>
      </c>
      <c r="R113" s="568">
        <v>0</v>
      </c>
      <c r="S113" s="568">
        <v>0</v>
      </c>
      <c r="T113" s="568">
        <v>0</v>
      </c>
      <c r="U113" s="568">
        <v>0</v>
      </c>
      <c r="V113" s="568">
        <v>0</v>
      </c>
      <c r="W113" s="568">
        <v>0</v>
      </c>
      <c r="X113" s="568">
        <v>0</v>
      </c>
      <c r="Y113" s="568">
        <v>0</v>
      </c>
      <c r="Z113" s="568">
        <v>0</v>
      </c>
    </row>
    <row r="114" spans="1:26" outlineLevel="2">
      <c r="A114" s="807"/>
      <c r="B114" s="808"/>
      <c r="C114" s="808"/>
      <c r="D114" s="64">
        <v>5</v>
      </c>
      <c r="E114" s="68">
        <f t="shared" si="14"/>
        <v>0</v>
      </c>
      <c r="F114" s="568">
        <v>0</v>
      </c>
      <c r="G114" s="568">
        <v>0</v>
      </c>
      <c r="H114" s="568">
        <v>0</v>
      </c>
      <c r="I114" s="568">
        <v>0</v>
      </c>
      <c r="J114" s="568">
        <v>0</v>
      </c>
      <c r="K114" s="568">
        <v>0</v>
      </c>
      <c r="L114" s="568">
        <v>0</v>
      </c>
      <c r="M114" s="568">
        <v>0</v>
      </c>
      <c r="N114" s="568">
        <v>0</v>
      </c>
      <c r="O114" s="568">
        <v>0</v>
      </c>
      <c r="P114" s="568">
        <v>0</v>
      </c>
      <c r="Q114" s="568">
        <v>0</v>
      </c>
      <c r="R114" s="568">
        <v>0</v>
      </c>
      <c r="S114" s="568">
        <v>0</v>
      </c>
      <c r="T114" s="568">
        <v>0</v>
      </c>
      <c r="U114" s="568">
        <v>0</v>
      </c>
      <c r="V114" s="568">
        <v>0</v>
      </c>
      <c r="W114" s="568">
        <v>0</v>
      </c>
      <c r="X114" s="568">
        <v>0</v>
      </c>
      <c r="Y114" s="568">
        <v>0</v>
      </c>
      <c r="Z114" s="568">
        <v>0</v>
      </c>
    </row>
    <row r="115" spans="1:26" outlineLevel="2">
      <c r="A115" s="807"/>
      <c r="B115" s="808"/>
      <c r="C115" s="808"/>
      <c r="D115" s="64">
        <v>6</v>
      </c>
      <c r="E115" s="68">
        <f t="shared" si="14"/>
        <v>0</v>
      </c>
      <c r="F115" s="568">
        <v>0</v>
      </c>
      <c r="G115" s="568">
        <v>0</v>
      </c>
      <c r="H115" s="568">
        <v>0</v>
      </c>
      <c r="I115" s="568">
        <v>0</v>
      </c>
      <c r="J115" s="568">
        <v>0</v>
      </c>
      <c r="K115" s="568">
        <v>0</v>
      </c>
      <c r="L115" s="568">
        <v>0</v>
      </c>
      <c r="M115" s="568">
        <v>0</v>
      </c>
      <c r="N115" s="568">
        <v>0</v>
      </c>
      <c r="O115" s="568">
        <v>0</v>
      </c>
      <c r="P115" s="568">
        <v>0</v>
      </c>
      <c r="Q115" s="568">
        <v>0</v>
      </c>
      <c r="R115" s="568">
        <v>0</v>
      </c>
      <c r="S115" s="568">
        <v>0</v>
      </c>
      <c r="T115" s="568">
        <v>0</v>
      </c>
      <c r="U115" s="568">
        <v>0</v>
      </c>
      <c r="V115" s="568">
        <v>0</v>
      </c>
      <c r="W115" s="568">
        <v>0</v>
      </c>
      <c r="X115" s="568">
        <v>0</v>
      </c>
      <c r="Y115" s="568">
        <v>0</v>
      </c>
      <c r="Z115" s="568">
        <v>0</v>
      </c>
    </row>
    <row r="116" spans="1:26" outlineLevel="2">
      <c r="A116" s="807"/>
      <c r="B116" s="808"/>
      <c r="C116" s="808"/>
      <c r="D116" s="64">
        <v>7</v>
      </c>
      <c r="E116" s="68">
        <f t="shared" si="14"/>
        <v>0</v>
      </c>
      <c r="F116" s="568">
        <v>0</v>
      </c>
      <c r="G116" s="568">
        <v>0</v>
      </c>
      <c r="H116" s="568">
        <v>0</v>
      </c>
      <c r="I116" s="568">
        <v>0</v>
      </c>
      <c r="J116" s="568">
        <v>0</v>
      </c>
      <c r="K116" s="568">
        <v>0</v>
      </c>
      <c r="L116" s="568">
        <v>0</v>
      </c>
      <c r="M116" s="568">
        <v>0</v>
      </c>
      <c r="N116" s="568">
        <v>0</v>
      </c>
      <c r="O116" s="568">
        <v>0</v>
      </c>
      <c r="P116" s="568">
        <v>0</v>
      </c>
      <c r="Q116" s="568">
        <v>0</v>
      </c>
      <c r="R116" s="568">
        <v>0</v>
      </c>
      <c r="S116" s="568">
        <v>0</v>
      </c>
      <c r="T116" s="568">
        <v>0</v>
      </c>
      <c r="U116" s="568">
        <v>0</v>
      </c>
      <c r="V116" s="568">
        <v>0</v>
      </c>
      <c r="W116" s="568">
        <v>0</v>
      </c>
      <c r="X116" s="568">
        <v>0</v>
      </c>
      <c r="Y116" s="568">
        <v>0</v>
      </c>
      <c r="Z116" s="568">
        <v>0</v>
      </c>
    </row>
    <row r="117" spans="1:26" outlineLevel="2">
      <c r="A117" s="807"/>
      <c r="B117" s="808"/>
      <c r="C117" s="808"/>
      <c r="D117" s="64">
        <v>8</v>
      </c>
      <c r="E117" s="68">
        <f t="shared" si="14"/>
        <v>0</v>
      </c>
      <c r="F117" s="568">
        <v>0</v>
      </c>
      <c r="G117" s="568">
        <v>0</v>
      </c>
      <c r="H117" s="568">
        <v>0</v>
      </c>
      <c r="I117" s="568">
        <v>0</v>
      </c>
      <c r="J117" s="568">
        <v>0</v>
      </c>
      <c r="K117" s="568">
        <v>0</v>
      </c>
      <c r="L117" s="568">
        <v>0</v>
      </c>
      <c r="M117" s="568">
        <v>0</v>
      </c>
      <c r="N117" s="568">
        <v>0</v>
      </c>
      <c r="O117" s="568">
        <v>0</v>
      </c>
      <c r="P117" s="568">
        <v>0</v>
      </c>
      <c r="Q117" s="568">
        <v>0</v>
      </c>
      <c r="R117" s="568">
        <v>0</v>
      </c>
      <c r="S117" s="568">
        <v>0</v>
      </c>
      <c r="T117" s="568">
        <v>0</v>
      </c>
      <c r="U117" s="568">
        <v>0</v>
      </c>
      <c r="V117" s="568">
        <v>0</v>
      </c>
      <c r="W117" s="568">
        <v>0</v>
      </c>
      <c r="X117" s="568">
        <v>0</v>
      </c>
      <c r="Y117" s="568">
        <v>0</v>
      </c>
      <c r="Z117" s="568">
        <v>0</v>
      </c>
    </row>
    <row r="118" spans="1:26" outlineLevel="2">
      <c r="A118" s="807"/>
      <c r="B118" s="808"/>
      <c r="C118" s="808"/>
      <c r="D118" s="64">
        <v>9</v>
      </c>
      <c r="E118" s="68">
        <f t="shared" si="14"/>
        <v>0</v>
      </c>
      <c r="F118" s="568">
        <v>0</v>
      </c>
      <c r="G118" s="568">
        <v>0</v>
      </c>
      <c r="H118" s="568">
        <v>0</v>
      </c>
      <c r="I118" s="568">
        <v>0</v>
      </c>
      <c r="J118" s="568">
        <v>0</v>
      </c>
      <c r="K118" s="568">
        <v>0</v>
      </c>
      <c r="L118" s="568">
        <v>0</v>
      </c>
      <c r="M118" s="568">
        <v>0</v>
      </c>
      <c r="N118" s="568">
        <v>0</v>
      </c>
      <c r="O118" s="568">
        <v>0</v>
      </c>
      <c r="P118" s="568">
        <v>0</v>
      </c>
      <c r="Q118" s="568">
        <v>0</v>
      </c>
      <c r="R118" s="568">
        <v>0</v>
      </c>
      <c r="S118" s="568">
        <v>0</v>
      </c>
      <c r="T118" s="568">
        <v>0</v>
      </c>
      <c r="U118" s="568">
        <v>0</v>
      </c>
      <c r="V118" s="568">
        <v>0</v>
      </c>
      <c r="W118" s="568">
        <v>0</v>
      </c>
      <c r="X118" s="568">
        <v>0</v>
      </c>
      <c r="Y118" s="568">
        <v>0</v>
      </c>
      <c r="Z118" s="568">
        <v>0</v>
      </c>
    </row>
    <row r="119" spans="1:26" ht="15.75" outlineLevel="2" thickBot="1">
      <c r="A119" s="807"/>
      <c r="B119" s="808"/>
      <c r="C119" s="808"/>
      <c r="D119" s="65">
        <v>10</v>
      </c>
      <c r="E119" s="69">
        <f t="shared" si="14"/>
        <v>0</v>
      </c>
      <c r="F119" s="572">
        <v>0</v>
      </c>
      <c r="G119" s="572">
        <v>0</v>
      </c>
      <c r="H119" s="572">
        <v>0</v>
      </c>
      <c r="I119" s="572">
        <v>0</v>
      </c>
      <c r="J119" s="572">
        <v>0</v>
      </c>
      <c r="K119" s="572">
        <v>0</v>
      </c>
      <c r="L119" s="572">
        <v>0</v>
      </c>
      <c r="M119" s="572">
        <v>0</v>
      </c>
      <c r="N119" s="572">
        <v>0</v>
      </c>
      <c r="O119" s="572">
        <v>0</v>
      </c>
      <c r="P119" s="572">
        <v>0</v>
      </c>
      <c r="Q119" s="572">
        <v>0</v>
      </c>
      <c r="R119" s="572">
        <v>0</v>
      </c>
      <c r="S119" s="572">
        <v>0</v>
      </c>
      <c r="T119" s="572">
        <v>0</v>
      </c>
      <c r="U119" s="572">
        <v>0</v>
      </c>
      <c r="V119" s="572">
        <v>0</v>
      </c>
      <c r="W119" s="572">
        <v>0</v>
      </c>
      <c r="X119" s="572">
        <v>0</v>
      </c>
      <c r="Y119" s="572">
        <v>0</v>
      </c>
      <c r="Z119" s="572">
        <v>0</v>
      </c>
    </row>
    <row r="120" spans="1:26" outlineLevel="2">
      <c r="A120" s="807" t="s">
        <v>85</v>
      </c>
      <c r="B120" s="808" t="s">
        <v>73</v>
      </c>
      <c r="C120" s="808">
        <v>718006</v>
      </c>
      <c r="D120" s="63">
        <v>1</v>
      </c>
      <c r="E120" s="68">
        <f t="shared" si="14"/>
        <v>247060.58409999136</v>
      </c>
      <c r="F120" s="577">
        <f>IFERROR(IF(VLOOKUP(F$2,MODULY_CBA!$B$3:$N$23,13,0)&lt;='TCO TO BE- SW'!$D120,SUM('TCO TO BE- SW'!F$37:F$46)*VLOOKUP('TCO TO BE- SW'!F$2,MODULY_CBA!$B$3:$L$23,11,0),0),0)</f>
        <v>0</v>
      </c>
      <c r="G120" s="577">
        <f>IFERROR(IF(VLOOKUP(G$2,MODULY_CBA!$B$3:$N$23,13,0)&lt;='TCO TO BE- SW'!$D120,SUM('TCO TO BE- SW'!G$37:G$46)*VLOOKUP('TCO TO BE- SW'!G$2,MODULY_CBA!$B$3:$L$23,11,0),0),0)</f>
        <v>0</v>
      </c>
      <c r="H120" s="577">
        <f>IFERROR(IF(VLOOKUP(H$2,MODULY_CBA!$B$3:$N$23,13,0)&lt;='TCO TO BE- SW'!$D120,SUM('TCO TO BE- SW'!H$37:H$46)*VLOOKUP('TCO TO BE- SW'!H$2,MODULY_CBA!$B$3:$L$23,11,0),0),0)</f>
        <v>0</v>
      </c>
      <c r="I120" s="577">
        <f>IFERROR(IF(VLOOKUP(I$2,MODULY_CBA!$B$3:$N$23,13,0)&lt;='TCO TO BE- SW'!$D120,SUM('TCO TO BE- SW'!I$37:I$46)*VLOOKUP('TCO TO BE- SW'!I$2,MODULY_CBA!$B$3:$L$23,11,0),0),0)</f>
        <v>0</v>
      </c>
      <c r="J120" s="577">
        <f>IFERROR(IF(VLOOKUP(J$2,MODULY_CBA!$B$3:$N$23,13,0)&lt;='TCO TO BE- SW'!$D120,SUM('TCO TO BE- SW'!J$37:J$46)*VLOOKUP('TCO TO BE- SW'!J$2,MODULY_CBA!$B$3:$L$23,11,0),0),0)</f>
        <v>0</v>
      </c>
      <c r="K120" s="577">
        <f>IFERROR(IF(VLOOKUP(K$2,MODULY_CBA!$B$3:$N$23,13,0)&lt;='TCO TO BE- SW'!$D120,SUM('TCO TO BE- SW'!K$37:K$46)*VLOOKUP('TCO TO BE- SW'!K$2,MODULY_CBA!$B$3:$L$23,11,0),0),0)</f>
        <v>0</v>
      </c>
      <c r="L120" s="577">
        <f>IFERROR(IF(VLOOKUP(L$2,MODULY_CBA!$B$3:$N$23,13,0)&lt;='TCO TO BE- SW'!$D120,SUM('TCO TO BE- SW'!L$37:L$46)*VLOOKUP('TCO TO BE- SW'!L$2,MODULY_CBA!$B$3:$L$23,11,0),0),0)</f>
        <v>0</v>
      </c>
      <c r="M120" s="577">
        <f>IFERROR(IF(VLOOKUP(M$2,MODULY_CBA!$B$3:$N$23,13,0)&lt;='TCO TO BE- SW'!$D120,SUM('TCO TO BE- SW'!M$37:M$46)*VLOOKUP('TCO TO BE- SW'!M$2,MODULY_CBA!$B$3:$L$23,11,0),0),0)</f>
        <v>0</v>
      </c>
      <c r="N120" s="577">
        <f>IFERROR(IF(VLOOKUP(N$2,MODULY_CBA!$B$3:$N$23,13,0)&lt;='TCO TO BE- SW'!$D120,SUM('TCO TO BE- SW'!N$37:N$46)*VLOOKUP('TCO TO BE- SW'!N$2,MODULY_CBA!$B$3:$L$23,11,0),0),0)</f>
        <v>0</v>
      </c>
      <c r="O120" s="577">
        <f>IFERROR(IF(VLOOKUP(O$2,MODULY_CBA!$B$3:$N$23,13,0)&lt;='TCO TO BE- SW'!$D120,SUM('TCO TO BE- SW'!O$37:O$46)*VLOOKUP('TCO TO BE- SW'!O$2,MODULY_CBA!$B$3:$L$23,11,0),0),0)</f>
        <v>0</v>
      </c>
      <c r="P120" s="577">
        <f>IFERROR(IF(VLOOKUP(P$2,MODULY_CBA!$B$3:$N$23,13,0)&lt;='TCO TO BE- SW'!$D120,SUM('TCO TO BE- SW'!P$37:P$46)*VLOOKUP('TCO TO BE- SW'!P$2,MODULY_CBA!$B$3:$L$23,11,0),0),0)</f>
        <v>0</v>
      </c>
      <c r="Q120" s="577">
        <f>IFERROR(IF(VLOOKUP(Q$2,MODULY_CBA!$B$3:$N$23,13,0)&lt;='TCO TO BE- SW'!$D120,SUM('TCO TO BE- SW'!Q$37:Q$46)*VLOOKUP('TCO TO BE- SW'!Q$2,MODULY_CBA!$B$3:$L$23,11,0),0),0)</f>
        <v>0</v>
      </c>
      <c r="R120" s="577">
        <f>IFERROR(IF(VLOOKUP(R$2,MODULY_CBA!$B$3:$N$23,13,0)&lt;='TCO TO BE- SW'!$D120,SUM('TCO TO BE- SW'!R$37:R$46)*VLOOKUP('TCO TO BE- SW'!R$2,MODULY_CBA!$B$3:$L$23,11,0),0),0)</f>
        <v>24194.627264569226</v>
      </c>
      <c r="S120" s="577">
        <f>IFERROR(IF(VLOOKUP(S$2,MODULY_CBA!$B$3:$N$23,13,0)&lt;='TCO TO BE- SW'!$D120,SUM('TCO TO BE- SW'!S$37:S$46)*VLOOKUP('TCO TO BE- SW'!S$2,MODULY_CBA!$B$3:$L$23,11,0),0),0)</f>
        <v>36324.724944637797</v>
      </c>
      <c r="T120" s="577">
        <f>IFERROR(IF(VLOOKUP(T$2,MODULY_CBA!$B$3:$N$23,13,0)&lt;='TCO TO BE- SW'!$D120,SUM('TCO TO BE- SW'!T$37:T$46)*VLOOKUP('TCO TO BE- SW'!T$2,MODULY_CBA!$B$3:$L$23,11,0),0),0)</f>
        <v>41176.764016665235</v>
      </c>
      <c r="U120" s="577">
        <f>IFERROR(IF(VLOOKUP(U$2,MODULY_CBA!$B$3:$N$23,13,0)&lt;='TCO TO BE- SW'!$D120,SUM('TCO TO BE- SW'!U$37:U$46)*VLOOKUP('TCO TO BE- SW'!U$2,MODULY_CBA!$B$3:$L$23,11,0),0),0)</f>
        <v>38750.744480651512</v>
      </c>
      <c r="V120" s="577">
        <f>IFERROR(IF(VLOOKUP(V$2,MODULY_CBA!$B$3:$N$23,13,0)&lt;='TCO TO BE- SW'!$D120,SUM('TCO TO BE- SW'!V$37:V$46)*VLOOKUP('TCO TO BE- SW'!V$2,MODULY_CBA!$B$3:$L$23,11,0),0),0)</f>
        <v>19408.156288109727</v>
      </c>
      <c r="W120" s="577">
        <f>IFERROR(IF(VLOOKUP(W$2,MODULY_CBA!$B$3:$N$23,13,0)&lt;='TCO TO BE- SW'!$D120,SUM('TCO TO BE- SW'!W$37:W$46)*VLOOKUP('TCO TO BE- SW'!W$2,MODULY_CBA!$B$3:$L$23,11,0),0),0)</f>
        <v>33898.705408624082</v>
      </c>
      <c r="X120" s="577">
        <f>IFERROR(IF(VLOOKUP(X$2,MODULY_CBA!$B$3:$N$23,13,0)&lt;='TCO TO BE- SW'!$D120,SUM('TCO TO BE- SW'!X$37:X$46)*VLOOKUP('TCO TO BE- SW'!X$2,MODULY_CBA!$B$3:$L$23,11,0),0),0)</f>
        <v>38750.744480651512</v>
      </c>
      <c r="Y120" s="577">
        <f>IFERROR(IF(VLOOKUP(Y$2,MODULY_CBA!$B$3:$N$23,13,0)&lt;='TCO TO BE- SW'!$D120,SUM('TCO TO BE- SW'!Y$37:Y$46)*VLOOKUP('TCO TO BE- SW'!Y$2,MODULY_CBA!$B$3:$L$23,11,0),0),0)</f>
        <v>14556.117216082297</v>
      </c>
      <c r="Z120" s="577">
        <f>IFERROR(IF(VLOOKUP(Z$2,MODULY_CBA!$B$3:$N$23,13,0)&lt;='TCO TO BE- SW'!$D120,SUM('TCO TO BE- SW'!Z$37:Z$46)*VLOOKUP('TCO TO BE- SW'!Z$2,MODULY_CBA!$B$3:$L$23,11,0),0),0)</f>
        <v>0</v>
      </c>
    </row>
    <row r="121" spans="1:26" outlineLevel="2">
      <c r="A121" s="807"/>
      <c r="B121" s="808"/>
      <c r="C121" s="808"/>
      <c r="D121" s="64">
        <v>2</v>
      </c>
      <c r="E121" s="68">
        <f t="shared" si="14"/>
        <v>247060.58409999136</v>
      </c>
      <c r="F121" s="577">
        <f>IFERROR(IF(VLOOKUP(F$2,MODULY_CBA!$B$3:$N$23,13,0)&lt;='TCO TO BE- SW'!$D121,SUM('TCO TO BE- SW'!F$37:F$46)*VLOOKUP('TCO TO BE- SW'!F$2,MODULY_CBA!$B$3:$L$23,11,0),0),0)</f>
        <v>0</v>
      </c>
      <c r="G121" s="577">
        <f>IFERROR(IF(VLOOKUP(G$2,MODULY_CBA!$B$3:$N$23,13,0)&lt;='TCO TO BE- SW'!$D121,SUM('TCO TO BE- SW'!G$37:G$46)*VLOOKUP('TCO TO BE- SW'!G$2,MODULY_CBA!$B$3:$L$23,11,0),0),0)</f>
        <v>0</v>
      </c>
      <c r="H121" s="577">
        <f>IFERROR(IF(VLOOKUP(H$2,MODULY_CBA!$B$3:$N$23,13,0)&lt;='TCO TO BE- SW'!$D121,SUM('TCO TO BE- SW'!H$37:H$46)*VLOOKUP('TCO TO BE- SW'!H$2,MODULY_CBA!$B$3:$L$23,11,0),0),0)</f>
        <v>0</v>
      </c>
      <c r="I121" s="577">
        <f>IFERROR(IF(VLOOKUP(I$2,MODULY_CBA!$B$3:$N$23,13,0)&lt;='TCO TO BE- SW'!$D121,SUM('TCO TO BE- SW'!I$37:I$46)*VLOOKUP('TCO TO BE- SW'!I$2,MODULY_CBA!$B$3:$L$23,11,0),0),0)</f>
        <v>0</v>
      </c>
      <c r="J121" s="577">
        <f>IFERROR(IF(VLOOKUP(J$2,MODULY_CBA!$B$3:$N$23,13,0)&lt;='TCO TO BE- SW'!$D121,SUM('TCO TO BE- SW'!J$37:J$46)*VLOOKUP('TCO TO BE- SW'!J$2,MODULY_CBA!$B$3:$L$23,11,0),0),0)</f>
        <v>0</v>
      </c>
      <c r="K121" s="577">
        <f>IFERROR(IF(VLOOKUP(K$2,MODULY_CBA!$B$3:$N$23,13,0)&lt;='TCO TO BE- SW'!$D121,SUM('TCO TO BE- SW'!K$37:K$46)*VLOOKUP('TCO TO BE- SW'!K$2,MODULY_CBA!$B$3:$L$23,11,0),0),0)</f>
        <v>0</v>
      </c>
      <c r="L121" s="577">
        <f>IFERROR(IF(VLOOKUP(L$2,MODULY_CBA!$B$3:$N$23,13,0)&lt;='TCO TO BE- SW'!$D121,SUM('TCO TO BE- SW'!L$37:L$46)*VLOOKUP('TCO TO BE- SW'!L$2,MODULY_CBA!$B$3:$L$23,11,0),0),0)</f>
        <v>0</v>
      </c>
      <c r="M121" s="577">
        <f>IFERROR(IF(VLOOKUP(M$2,MODULY_CBA!$B$3:$N$23,13,0)&lt;='TCO TO BE- SW'!$D121,SUM('TCO TO BE- SW'!M$37:M$46)*VLOOKUP('TCO TO BE- SW'!M$2,MODULY_CBA!$B$3:$L$23,11,0),0),0)</f>
        <v>0</v>
      </c>
      <c r="N121" s="577">
        <f>IFERROR(IF(VLOOKUP(N$2,MODULY_CBA!$B$3:$N$23,13,0)&lt;='TCO TO BE- SW'!$D121,SUM('TCO TO BE- SW'!N$37:N$46)*VLOOKUP('TCO TO BE- SW'!N$2,MODULY_CBA!$B$3:$L$23,11,0),0),0)</f>
        <v>0</v>
      </c>
      <c r="O121" s="577">
        <f>IFERROR(IF(VLOOKUP(O$2,MODULY_CBA!$B$3:$N$23,13,0)&lt;='TCO TO BE- SW'!$D121,SUM('TCO TO BE- SW'!O$37:O$46)*VLOOKUP('TCO TO BE- SW'!O$2,MODULY_CBA!$B$3:$L$23,11,0),0),0)</f>
        <v>0</v>
      </c>
      <c r="P121" s="577">
        <f>IFERROR(IF(VLOOKUP(P$2,MODULY_CBA!$B$3:$N$23,13,0)&lt;='TCO TO BE- SW'!$D121,SUM('TCO TO BE- SW'!P$37:P$46)*VLOOKUP('TCO TO BE- SW'!P$2,MODULY_CBA!$B$3:$L$23,11,0),0),0)</f>
        <v>0</v>
      </c>
      <c r="Q121" s="577">
        <f>IFERROR(IF(VLOOKUP(Q$2,MODULY_CBA!$B$3:$N$23,13,0)&lt;='TCO TO BE- SW'!$D121,SUM('TCO TO BE- SW'!Q$37:Q$46)*VLOOKUP('TCO TO BE- SW'!Q$2,MODULY_CBA!$B$3:$L$23,11,0),0),0)</f>
        <v>0</v>
      </c>
      <c r="R121" s="577">
        <f>IFERROR(IF(VLOOKUP(R$2,MODULY_CBA!$B$3:$N$23,13,0)&lt;='TCO TO BE- SW'!$D121,SUM('TCO TO BE- SW'!R$37:R$46)*VLOOKUP('TCO TO BE- SW'!R$2,MODULY_CBA!$B$3:$L$23,11,0),0),0)</f>
        <v>24194.627264569226</v>
      </c>
      <c r="S121" s="577">
        <f>IFERROR(IF(VLOOKUP(S$2,MODULY_CBA!$B$3:$N$23,13,0)&lt;='TCO TO BE- SW'!$D121,SUM('TCO TO BE- SW'!S$37:S$46)*VLOOKUP('TCO TO BE- SW'!S$2,MODULY_CBA!$B$3:$L$23,11,0),0),0)</f>
        <v>36324.724944637797</v>
      </c>
      <c r="T121" s="577">
        <f>IFERROR(IF(VLOOKUP(T$2,MODULY_CBA!$B$3:$N$23,13,0)&lt;='TCO TO BE- SW'!$D121,SUM('TCO TO BE- SW'!T$37:T$46)*VLOOKUP('TCO TO BE- SW'!T$2,MODULY_CBA!$B$3:$L$23,11,0),0),0)</f>
        <v>41176.764016665235</v>
      </c>
      <c r="U121" s="577">
        <f>IFERROR(IF(VLOOKUP(U$2,MODULY_CBA!$B$3:$N$23,13,0)&lt;='TCO TO BE- SW'!$D121,SUM('TCO TO BE- SW'!U$37:U$46)*VLOOKUP('TCO TO BE- SW'!U$2,MODULY_CBA!$B$3:$L$23,11,0),0),0)</f>
        <v>38750.744480651512</v>
      </c>
      <c r="V121" s="577">
        <f>IFERROR(IF(VLOOKUP(V$2,MODULY_CBA!$B$3:$N$23,13,0)&lt;='TCO TO BE- SW'!$D121,SUM('TCO TO BE- SW'!V$37:V$46)*VLOOKUP('TCO TO BE- SW'!V$2,MODULY_CBA!$B$3:$L$23,11,0),0),0)</f>
        <v>19408.156288109727</v>
      </c>
      <c r="W121" s="577">
        <f>IFERROR(IF(VLOOKUP(W$2,MODULY_CBA!$B$3:$N$23,13,0)&lt;='TCO TO BE- SW'!$D121,SUM('TCO TO BE- SW'!W$37:W$46)*VLOOKUP('TCO TO BE- SW'!W$2,MODULY_CBA!$B$3:$L$23,11,0),0),0)</f>
        <v>33898.705408624082</v>
      </c>
      <c r="X121" s="577">
        <f>IFERROR(IF(VLOOKUP(X$2,MODULY_CBA!$B$3:$N$23,13,0)&lt;='TCO TO BE- SW'!$D121,SUM('TCO TO BE- SW'!X$37:X$46)*VLOOKUP('TCO TO BE- SW'!X$2,MODULY_CBA!$B$3:$L$23,11,0),0),0)</f>
        <v>38750.744480651512</v>
      </c>
      <c r="Y121" s="577">
        <f>IFERROR(IF(VLOOKUP(Y$2,MODULY_CBA!$B$3:$N$23,13,0)&lt;='TCO TO BE- SW'!$D121,SUM('TCO TO BE- SW'!Y$37:Y$46)*VLOOKUP('TCO TO BE- SW'!Y$2,MODULY_CBA!$B$3:$L$23,11,0),0),0)</f>
        <v>14556.117216082297</v>
      </c>
      <c r="Z121" s="577">
        <f>IFERROR(IF(VLOOKUP(Z$2,MODULY_CBA!$B$3:$N$23,13,0)&lt;='TCO TO BE- SW'!$D121,SUM('TCO TO BE- SW'!Z$37:Z$46)*VLOOKUP('TCO TO BE- SW'!Z$2,MODULY_CBA!$B$3:$L$23,11,0),0),0)</f>
        <v>0</v>
      </c>
    </row>
    <row r="122" spans="1:26" outlineLevel="2">
      <c r="A122" s="807"/>
      <c r="B122" s="808"/>
      <c r="C122" s="808"/>
      <c r="D122" s="64">
        <v>3</v>
      </c>
      <c r="E122" s="68">
        <f t="shared" si="14"/>
        <v>764851.83480000007</v>
      </c>
      <c r="F122" s="577">
        <f>IFERROR(IF(VLOOKUP(F$2,MODULY_CBA!$B$3:$N$23,13,0)&lt;='TCO TO BE- SW'!$D122,SUM('TCO TO BE- SW'!F$37:F$46)*VLOOKUP('TCO TO BE- SW'!F$2,MODULY_CBA!$B$3:$L$23,11,0),0),0)</f>
        <v>119661.77441148733</v>
      </c>
      <c r="G122" s="577">
        <f>IFERROR(IF(VLOOKUP(G$2,MODULY_CBA!$B$3:$N$23,13,0)&lt;='TCO TO BE- SW'!$D122,SUM('TCO TO BE- SW'!G$37:G$46)*VLOOKUP('TCO TO BE- SW'!G$2,MODULY_CBA!$B$3:$L$23,11,0),0),0)</f>
        <v>25899.397749335618</v>
      </c>
      <c r="H122" s="577">
        <f>IFERROR(IF(VLOOKUP(H$2,MODULY_CBA!$B$3:$N$23,13,0)&lt;='TCO TO BE- SW'!$D122,SUM('TCO TO BE- SW'!H$37:H$46)*VLOOKUP('TCO TO BE- SW'!H$2,MODULY_CBA!$B$3:$L$23,11,0),0),0)</f>
        <v>35603.475893390474</v>
      </c>
      <c r="I122" s="577">
        <f>IFERROR(IF(VLOOKUP(I$2,MODULY_CBA!$B$3:$N$23,13,0)&lt;='TCO TO BE- SW'!$D122,SUM('TCO TO BE- SW'!I$37:I$46)*VLOOKUP('TCO TO BE- SW'!I$2,MODULY_CBA!$B$3:$L$23,11,0),0),0)</f>
        <v>46028.803088692664</v>
      </c>
      <c r="J122" s="577">
        <f>IFERROR(IF(VLOOKUP(J$2,MODULY_CBA!$B$3:$N$23,13,0)&lt;='TCO TO BE- SW'!$D122,SUM('TCO TO BE- SW'!J$37:J$46)*VLOOKUP('TCO TO BE- SW'!J$2,MODULY_CBA!$B$3:$L$23,11,0),0),0)</f>
        <v>12130.09768006858</v>
      </c>
      <c r="K122" s="577">
        <f>IFERROR(IF(VLOOKUP(K$2,MODULY_CBA!$B$3:$N$23,13,0)&lt;='TCO TO BE- SW'!$D122,SUM('TCO TO BE- SW'!K$37:K$46)*VLOOKUP('TCO TO BE- SW'!K$2,MODULY_CBA!$B$3:$L$23,11,0),0),0)</f>
        <v>26620.646800582937</v>
      </c>
      <c r="L122" s="577">
        <f>IFERROR(IF(VLOOKUP(L$2,MODULY_CBA!$B$3:$N$23,13,0)&lt;='TCO TO BE- SW'!$D122,SUM('TCO TO BE- SW'!L$37:L$46)*VLOOKUP('TCO TO BE- SW'!L$2,MODULY_CBA!$B$3:$L$23,11,0),0),0)</f>
        <v>55732.881232747524</v>
      </c>
      <c r="M122" s="577">
        <f>IFERROR(IF(VLOOKUP(M$2,MODULY_CBA!$B$3:$N$23,13,0)&lt;='TCO TO BE- SW'!$D122,SUM('TCO TO BE- SW'!M$37:M$46)*VLOOKUP('TCO TO BE- SW'!M$2,MODULY_CBA!$B$3:$L$23,11,0),0),0)</f>
        <v>65371.391281234464</v>
      </c>
      <c r="N122" s="577">
        <f>IFERROR(IF(VLOOKUP(N$2,MODULY_CBA!$B$3:$N$23,13,0)&lt;='TCO TO BE- SW'!$D122,SUM('TCO TO BE- SW'!N$37:N$46)*VLOOKUP('TCO TO BE- SW'!N$2,MODULY_CBA!$B$3:$L$23,11,0),0),0)</f>
        <v>29046.666336596656</v>
      </c>
      <c r="O122" s="577">
        <f>IFERROR(IF(VLOOKUP(O$2,MODULY_CBA!$B$3:$N$23,13,0)&lt;='TCO TO BE- SW'!$D122,SUM('TCO TO BE- SW'!O$37:O$46)*VLOOKUP('TCO TO BE- SW'!O$2,MODULY_CBA!$B$3:$L$23,11,0),0),0)</f>
        <v>43602.783552678957</v>
      </c>
      <c r="P122" s="577">
        <f>IFERROR(IF(VLOOKUP(P$2,MODULY_CBA!$B$3:$N$23,13,0)&lt;='TCO TO BE- SW'!$D122,SUM('TCO TO BE- SW'!P$37:P$46)*VLOOKUP('TCO TO BE- SW'!P$2,MODULY_CBA!$B$3:$L$23,11,0),0),0)</f>
        <v>33898.705408624082</v>
      </c>
      <c r="Q122" s="577">
        <f>IFERROR(IF(VLOOKUP(Q$2,MODULY_CBA!$B$3:$N$23,13,0)&lt;='TCO TO BE- SW'!$D122,SUM('TCO TO BE- SW'!Q$37:Q$46)*VLOOKUP('TCO TO BE- SW'!Q$2,MODULY_CBA!$B$3:$L$23,11,0),0),0)</f>
        <v>24194.627264569226</v>
      </c>
      <c r="R122" s="577">
        <f>IFERROR(IF(VLOOKUP(R$2,MODULY_CBA!$B$3:$N$23,13,0)&lt;='TCO TO BE- SW'!$D122,SUM('TCO TO BE- SW'!R$37:R$46)*VLOOKUP('TCO TO BE- SW'!R$2,MODULY_CBA!$B$3:$L$23,11,0),0),0)</f>
        <v>24194.627264569226</v>
      </c>
      <c r="S122" s="577">
        <f>IFERROR(IF(VLOOKUP(S$2,MODULY_CBA!$B$3:$N$23,13,0)&lt;='TCO TO BE- SW'!$D122,SUM('TCO TO BE- SW'!S$37:S$46)*VLOOKUP('TCO TO BE- SW'!S$2,MODULY_CBA!$B$3:$L$23,11,0),0),0)</f>
        <v>36324.724944637797</v>
      </c>
      <c r="T122" s="577">
        <f>IFERROR(IF(VLOOKUP(T$2,MODULY_CBA!$B$3:$N$23,13,0)&lt;='TCO TO BE- SW'!$D122,SUM('TCO TO BE- SW'!T$37:T$46)*VLOOKUP('TCO TO BE- SW'!T$2,MODULY_CBA!$B$3:$L$23,11,0),0),0)</f>
        <v>41176.764016665235</v>
      </c>
      <c r="U122" s="577">
        <f>IFERROR(IF(VLOOKUP(U$2,MODULY_CBA!$B$3:$N$23,13,0)&lt;='TCO TO BE- SW'!$D122,SUM('TCO TO BE- SW'!U$37:U$46)*VLOOKUP('TCO TO BE- SW'!U$2,MODULY_CBA!$B$3:$L$23,11,0),0),0)</f>
        <v>38750.744480651512</v>
      </c>
      <c r="V122" s="577">
        <f>IFERROR(IF(VLOOKUP(V$2,MODULY_CBA!$B$3:$N$23,13,0)&lt;='TCO TO BE- SW'!$D122,SUM('TCO TO BE- SW'!V$37:V$46)*VLOOKUP('TCO TO BE- SW'!V$2,MODULY_CBA!$B$3:$L$23,11,0),0),0)</f>
        <v>19408.156288109727</v>
      </c>
      <c r="W122" s="577">
        <f>IFERROR(IF(VLOOKUP(W$2,MODULY_CBA!$B$3:$N$23,13,0)&lt;='TCO TO BE- SW'!$D122,SUM('TCO TO BE- SW'!W$37:W$46)*VLOOKUP('TCO TO BE- SW'!W$2,MODULY_CBA!$B$3:$L$23,11,0),0),0)</f>
        <v>33898.705408624082</v>
      </c>
      <c r="X122" s="577">
        <f>IFERROR(IF(VLOOKUP(X$2,MODULY_CBA!$B$3:$N$23,13,0)&lt;='TCO TO BE- SW'!$D122,SUM('TCO TO BE- SW'!X$37:X$46)*VLOOKUP('TCO TO BE- SW'!X$2,MODULY_CBA!$B$3:$L$23,11,0),0),0)</f>
        <v>38750.744480651512</v>
      </c>
      <c r="Y122" s="577">
        <f>IFERROR(IF(VLOOKUP(Y$2,MODULY_CBA!$B$3:$N$23,13,0)&lt;='TCO TO BE- SW'!$D122,SUM('TCO TO BE- SW'!Y$37:Y$46)*VLOOKUP('TCO TO BE- SW'!Y$2,MODULY_CBA!$B$3:$L$23,11,0),0),0)</f>
        <v>14556.117216082297</v>
      </c>
      <c r="Z122" s="577">
        <f>IFERROR(IF(VLOOKUP(Z$2,MODULY_CBA!$B$3:$N$23,13,0)&lt;='TCO TO BE- SW'!$D122,SUM('TCO TO BE- SW'!Z$37:Z$46)*VLOOKUP('TCO TO BE- SW'!Z$2,MODULY_CBA!$B$3:$L$23,11,0),0),0)</f>
        <v>0</v>
      </c>
    </row>
    <row r="123" spans="1:26" outlineLevel="2">
      <c r="A123" s="807"/>
      <c r="B123" s="808"/>
      <c r="C123" s="808"/>
      <c r="D123" s="64">
        <v>4</v>
      </c>
      <c r="E123" s="68">
        <f t="shared" si="14"/>
        <v>764851.83480000007</v>
      </c>
      <c r="F123" s="577">
        <f>IFERROR(IF(VLOOKUP(F$2,MODULY_CBA!$B$3:$N$23,13,0)&lt;='TCO TO BE- SW'!$D123,SUM('TCO TO BE- SW'!F$37:F$46)*VLOOKUP('TCO TO BE- SW'!F$2,MODULY_CBA!$B$3:$L$23,11,0),0),0)</f>
        <v>119661.77441148733</v>
      </c>
      <c r="G123" s="577">
        <f>IFERROR(IF(VLOOKUP(G$2,MODULY_CBA!$B$3:$N$23,13,0)&lt;='TCO TO BE- SW'!$D123,SUM('TCO TO BE- SW'!G$37:G$46)*VLOOKUP('TCO TO BE- SW'!G$2,MODULY_CBA!$B$3:$L$23,11,0),0),0)</f>
        <v>25899.397749335618</v>
      </c>
      <c r="H123" s="577">
        <f>IFERROR(IF(VLOOKUP(H$2,MODULY_CBA!$B$3:$N$23,13,0)&lt;='TCO TO BE- SW'!$D123,SUM('TCO TO BE- SW'!H$37:H$46)*VLOOKUP('TCO TO BE- SW'!H$2,MODULY_CBA!$B$3:$L$23,11,0),0),0)</f>
        <v>35603.475893390474</v>
      </c>
      <c r="I123" s="577">
        <f>IFERROR(IF(VLOOKUP(I$2,MODULY_CBA!$B$3:$N$23,13,0)&lt;='TCO TO BE- SW'!$D123,SUM('TCO TO BE- SW'!I$37:I$46)*VLOOKUP('TCO TO BE- SW'!I$2,MODULY_CBA!$B$3:$L$23,11,0),0),0)</f>
        <v>46028.803088692664</v>
      </c>
      <c r="J123" s="577">
        <f>IFERROR(IF(VLOOKUP(J$2,MODULY_CBA!$B$3:$N$23,13,0)&lt;='TCO TO BE- SW'!$D123,SUM('TCO TO BE- SW'!J$37:J$46)*VLOOKUP('TCO TO BE- SW'!J$2,MODULY_CBA!$B$3:$L$23,11,0),0),0)</f>
        <v>12130.09768006858</v>
      </c>
      <c r="K123" s="577">
        <f>IFERROR(IF(VLOOKUP(K$2,MODULY_CBA!$B$3:$N$23,13,0)&lt;='TCO TO BE- SW'!$D123,SUM('TCO TO BE- SW'!K$37:K$46)*VLOOKUP('TCO TO BE- SW'!K$2,MODULY_CBA!$B$3:$L$23,11,0),0),0)</f>
        <v>26620.646800582937</v>
      </c>
      <c r="L123" s="577">
        <f>IFERROR(IF(VLOOKUP(L$2,MODULY_CBA!$B$3:$N$23,13,0)&lt;='TCO TO BE- SW'!$D123,SUM('TCO TO BE- SW'!L$37:L$46)*VLOOKUP('TCO TO BE- SW'!L$2,MODULY_CBA!$B$3:$L$23,11,0),0),0)</f>
        <v>55732.881232747524</v>
      </c>
      <c r="M123" s="577">
        <f>IFERROR(IF(VLOOKUP(M$2,MODULY_CBA!$B$3:$N$23,13,0)&lt;='TCO TO BE- SW'!$D123,SUM('TCO TO BE- SW'!M$37:M$46)*VLOOKUP('TCO TO BE- SW'!M$2,MODULY_CBA!$B$3:$L$23,11,0),0),0)</f>
        <v>65371.391281234464</v>
      </c>
      <c r="N123" s="577">
        <f>IFERROR(IF(VLOOKUP(N$2,MODULY_CBA!$B$3:$N$23,13,0)&lt;='TCO TO BE- SW'!$D123,SUM('TCO TO BE- SW'!N$37:N$46)*VLOOKUP('TCO TO BE- SW'!N$2,MODULY_CBA!$B$3:$L$23,11,0),0),0)</f>
        <v>29046.666336596656</v>
      </c>
      <c r="O123" s="577">
        <f>IFERROR(IF(VLOOKUP(O$2,MODULY_CBA!$B$3:$N$23,13,0)&lt;='TCO TO BE- SW'!$D123,SUM('TCO TO BE- SW'!O$37:O$46)*VLOOKUP('TCO TO BE- SW'!O$2,MODULY_CBA!$B$3:$L$23,11,0),0),0)</f>
        <v>43602.783552678957</v>
      </c>
      <c r="P123" s="577">
        <f>IFERROR(IF(VLOOKUP(P$2,MODULY_CBA!$B$3:$N$23,13,0)&lt;='TCO TO BE- SW'!$D123,SUM('TCO TO BE- SW'!P$37:P$46)*VLOOKUP('TCO TO BE- SW'!P$2,MODULY_CBA!$B$3:$L$23,11,0),0),0)</f>
        <v>33898.705408624082</v>
      </c>
      <c r="Q123" s="577">
        <f>IFERROR(IF(VLOOKUP(Q$2,MODULY_CBA!$B$3:$N$23,13,0)&lt;='TCO TO BE- SW'!$D123,SUM('TCO TO BE- SW'!Q$37:Q$46)*VLOOKUP('TCO TO BE- SW'!Q$2,MODULY_CBA!$B$3:$L$23,11,0),0),0)</f>
        <v>24194.627264569226</v>
      </c>
      <c r="R123" s="577">
        <f>IFERROR(IF(VLOOKUP(R$2,MODULY_CBA!$B$3:$N$23,13,0)&lt;='TCO TO BE- SW'!$D123,SUM('TCO TO BE- SW'!R$37:R$46)*VLOOKUP('TCO TO BE- SW'!R$2,MODULY_CBA!$B$3:$L$23,11,0),0),0)</f>
        <v>24194.627264569226</v>
      </c>
      <c r="S123" s="577">
        <f>IFERROR(IF(VLOOKUP(S$2,MODULY_CBA!$B$3:$N$23,13,0)&lt;='TCO TO BE- SW'!$D123,SUM('TCO TO BE- SW'!S$37:S$46)*VLOOKUP('TCO TO BE- SW'!S$2,MODULY_CBA!$B$3:$L$23,11,0),0),0)</f>
        <v>36324.724944637797</v>
      </c>
      <c r="T123" s="577">
        <f>IFERROR(IF(VLOOKUP(T$2,MODULY_CBA!$B$3:$N$23,13,0)&lt;='TCO TO BE- SW'!$D123,SUM('TCO TO BE- SW'!T$37:T$46)*VLOOKUP('TCO TO BE- SW'!T$2,MODULY_CBA!$B$3:$L$23,11,0),0),0)</f>
        <v>41176.764016665235</v>
      </c>
      <c r="U123" s="577">
        <f>IFERROR(IF(VLOOKUP(U$2,MODULY_CBA!$B$3:$N$23,13,0)&lt;='TCO TO BE- SW'!$D123,SUM('TCO TO BE- SW'!U$37:U$46)*VLOOKUP('TCO TO BE- SW'!U$2,MODULY_CBA!$B$3:$L$23,11,0),0),0)</f>
        <v>38750.744480651512</v>
      </c>
      <c r="V123" s="577">
        <f>IFERROR(IF(VLOOKUP(V$2,MODULY_CBA!$B$3:$N$23,13,0)&lt;='TCO TO BE- SW'!$D123,SUM('TCO TO BE- SW'!V$37:V$46)*VLOOKUP('TCO TO BE- SW'!V$2,MODULY_CBA!$B$3:$L$23,11,0),0),0)</f>
        <v>19408.156288109727</v>
      </c>
      <c r="W123" s="577">
        <f>IFERROR(IF(VLOOKUP(W$2,MODULY_CBA!$B$3:$N$23,13,0)&lt;='TCO TO BE- SW'!$D123,SUM('TCO TO BE- SW'!W$37:W$46)*VLOOKUP('TCO TO BE- SW'!W$2,MODULY_CBA!$B$3:$L$23,11,0),0),0)</f>
        <v>33898.705408624082</v>
      </c>
      <c r="X123" s="577">
        <f>IFERROR(IF(VLOOKUP(X$2,MODULY_CBA!$B$3:$N$23,13,0)&lt;='TCO TO BE- SW'!$D123,SUM('TCO TO BE- SW'!X$37:X$46)*VLOOKUP('TCO TO BE- SW'!X$2,MODULY_CBA!$B$3:$L$23,11,0),0),0)</f>
        <v>38750.744480651512</v>
      </c>
      <c r="Y123" s="577">
        <f>IFERROR(IF(VLOOKUP(Y$2,MODULY_CBA!$B$3:$N$23,13,0)&lt;='TCO TO BE- SW'!$D123,SUM('TCO TO BE- SW'!Y$37:Y$46)*VLOOKUP('TCO TO BE- SW'!Y$2,MODULY_CBA!$B$3:$L$23,11,0),0),0)</f>
        <v>14556.117216082297</v>
      </c>
      <c r="Z123" s="577">
        <f>IFERROR(IF(VLOOKUP(Z$2,MODULY_CBA!$B$3:$N$23,13,0)&lt;='TCO TO BE- SW'!$D123,SUM('TCO TO BE- SW'!Z$37:Z$46)*VLOOKUP('TCO TO BE- SW'!Z$2,MODULY_CBA!$B$3:$L$23,11,0),0),0)</f>
        <v>0</v>
      </c>
    </row>
    <row r="124" spans="1:26" outlineLevel="2">
      <c r="A124" s="807"/>
      <c r="B124" s="808"/>
      <c r="C124" s="808"/>
      <c r="D124" s="64">
        <v>5</v>
      </c>
      <c r="E124" s="68">
        <f t="shared" si="14"/>
        <v>764851.83480000007</v>
      </c>
      <c r="F124" s="577">
        <f>IFERROR(IF(VLOOKUP(F$2,MODULY_CBA!$B$3:$N$23,13,0)&lt;='TCO TO BE- SW'!$D124,SUM('TCO TO BE- SW'!F$37:F$46)*VLOOKUP('TCO TO BE- SW'!F$2,MODULY_CBA!$B$3:$L$23,11,0),0),0)</f>
        <v>119661.77441148733</v>
      </c>
      <c r="G124" s="577">
        <f>IFERROR(IF(VLOOKUP(G$2,MODULY_CBA!$B$3:$N$23,13,0)&lt;='TCO TO BE- SW'!$D124,SUM('TCO TO BE- SW'!G$37:G$46)*VLOOKUP('TCO TO BE- SW'!G$2,MODULY_CBA!$B$3:$L$23,11,0),0),0)</f>
        <v>25899.397749335618</v>
      </c>
      <c r="H124" s="577">
        <f>IFERROR(IF(VLOOKUP(H$2,MODULY_CBA!$B$3:$N$23,13,0)&lt;='TCO TO BE- SW'!$D124,SUM('TCO TO BE- SW'!H$37:H$46)*VLOOKUP('TCO TO BE- SW'!H$2,MODULY_CBA!$B$3:$L$23,11,0),0),0)</f>
        <v>35603.475893390474</v>
      </c>
      <c r="I124" s="577">
        <f>IFERROR(IF(VLOOKUP(I$2,MODULY_CBA!$B$3:$N$23,13,0)&lt;='TCO TO BE- SW'!$D124,SUM('TCO TO BE- SW'!I$37:I$46)*VLOOKUP('TCO TO BE- SW'!I$2,MODULY_CBA!$B$3:$L$23,11,0),0),0)</f>
        <v>46028.803088692664</v>
      </c>
      <c r="J124" s="577">
        <f>IFERROR(IF(VLOOKUP(J$2,MODULY_CBA!$B$3:$N$23,13,0)&lt;='TCO TO BE- SW'!$D124,SUM('TCO TO BE- SW'!J$37:J$46)*VLOOKUP('TCO TO BE- SW'!J$2,MODULY_CBA!$B$3:$L$23,11,0),0),0)</f>
        <v>12130.09768006858</v>
      </c>
      <c r="K124" s="577">
        <f>IFERROR(IF(VLOOKUP(K$2,MODULY_CBA!$B$3:$N$23,13,0)&lt;='TCO TO BE- SW'!$D124,SUM('TCO TO BE- SW'!K$37:K$46)*VLOOKUP('TCO TO BE- SW'!K$2,MODULY_CBA!$B$3:$L$23,11,0),0),0)</f>
        <v>26620.646800582937</v>
      </c>
      <c r="L124" s="577">
        <f>IFERROR(IF(VLOOKUP(L$2,MODULY_CBA!$B$3:$N$23,13,0)&lt;='TCO TO BE- SW'!$D124,SUM('TCO TO BE- SW'!L$37:L$46)*VLOOKUP('TCO TO BE- SW'!L$2,MODULY_CBA!$B$3:$L$23,11,0),0),0)</f>
        <v>55732.881232747524</v>
      </c>
      <c r="M124" s="577">
        <f>IFERROR(IF(VLOOKUP(M$2,MODULY_CBA!$B$3:$N$23,13,0)&lt;='TCO TO BE- SW'!$D124,SUM('TCO TO BE- SW'!M$37:M$46)*VLOOKUP('TCO TO BE- SW'!M$2,MODULY_CBA!$B$3:$L$23,11,0),0),0)</f>
        <v>65371.391281234464</v>
      </c>
      <c r="N124" s="577">
        <f>IFERROR(IF(VLOOKUP(N$2,MODULY_CBA!$B$3:$N$23,13,0)&lt;='TCO TO BE- SW'!$D124,SUM('TCO TO BE- SW'!N$37:N$46)*VLOOKUP('TCO TO BE- SW'!N$2,MODULY_CBA!$B$3:$L$23,11,0),0),0)</f>
        <v>29046.666336596656</v>
      </c>
      <c r="O124" s="577">
        <f>IFERROR(IF(VLOOKUP(O$2,MODULY_CBA!$B$3:$N$23,13,0)&lt;='TCO TO BE- SW'!$D124,SUM('TCO TO BE- SW'!O$37:O$46)*VLOOKUP('TCO TO BE- SW'!O$2,MODULY_CBA!$B$3:$L$23,11,0),0),0)</f>
        <v>43602.783552678957</v>
      </c>
      <c r="P124" s="577">
        <f>IFERROR(IF(VLOOKUP(P$2,MODULY_CBA!$B$3:$N$23,13,0)&lt;='TCO TO BE- SW'!$D124,SUM('TCO TO BE- SW'!P$37:P$46)*VLOOKUP('TCO TO BE- SW'!P$2,MODULY_CBA!$B$3:$L$23,11,0),0),0)</f>
        <v>33898.705408624082</v>
      </c>
      <c r="Q124" s="577">
        <f>IFERROR(IF(VLOOKUP(Q$2,MODULY_CBA!$B$3:$N$23,13,0)&lt;='TCO TO BE- SW'!$D124,SUM('TCO TO BE- SW'!Q$37:Q$46)*VLOOKUP('TCO TO BE- SW'!Q$2,MODULY_CBA!$B$3:$L$23,11,0),0),0)</f>
        <v>24194.627264569226</v>
      </c>
      <c r="R124" s="577">
        <f>IFERROR(IF(VLOOKUP(R$2,MODULY_CBA!$B$3:$N$23,13,0)&lt;='TCO TO BE- SW'!$D124,SUM('TCO TO BE- SW'!R$37:R$46)*VLOOKUP('TCO TO BE- SW'!R$2,MODULY_CBA!$B$3:$L$23,11,0),0),0)</f>
        <v>24194.627264569226</v>
      </c>
      <c r="S124" s="577">
        <f>IFERROR(IF(VLOOKUP(S$2,MODULY_CBA!$B$3:$N$23,13,0)&lt;='TCO TO BE- SW'!$D124,SUM('TCO TO BE- SW'!S$37:S$46)*VLOOKUP('TCO TO BE- SW'!S$2,MODULY_CBA!$B$3:$L$23,11,0),0),0)</f>
        <v>36324.724944637797</v>
      </c>
      <c r="T124" s="577">
        <f>IFERROR(IF(VLOOKUP(T$2,MODULY_CBA!$B$3:$N$23,13,0)&lt;='TCO TO BE- SW'!$D124,SUM('TCO TO BE- SW'!T$37:T$46)*VLOOKUP('TCO TO BE- SW'!T$2,MODULY_CBA!$B$3:$L$23,11,0),0),0)</f>
        <v>41176.764016665235</v>
      </c>
      <c r="U124" s="577">
        <f>IFERROR(IF(VLOOKUP(U$2,MODULY_CBA!$B$3:$N$23,13,0)&lt;='TCO TO BE- SW'!$D124,SUM('TCO TO BE- SW'!U$37:U$46)*VLOOKUP('TCO TO BE- SW'!U$2,MODULY_CBA!$B$3:$L$23,11,0),0),0)</f>
        <v>38750.744480651512</v>
      </c>
      <c r="V124" s="577">
        <f>IFERROR(IF(VLOOKUP(V$2,MODULY_CBA!$B$3:$N$23,13,0)&lt;='TCO TO BE- SW'!$D124,SUM('TCO TO BE- SW'!V$37:V$46)*VLOOKUP('TCO TO BE- SW'!V$2,MODULY_CBA!$B$3:$L$23,11,0),0),0)</f>
        <v>19408.156288109727</v>
      </c>
      <c r="W124" s="577">
        <f>IFERROR(IF(VLOOKUP(W$2,MODULY_CBA!$B$3:$N$23,13,0)&lt;='TCO TO BE- SW'!$D124,SUM('TCO TO BE- SW'!W$37:W$46)*VLOOKUP('TCO TO BE- SW'!W$2,MODULY_CBA!$B$3:$L$23,11,0),0),0)</f>
        <v>33898.705408624082</v>
      </c>
      <c r="X124" s="577">
        <f>IFERROR(IF(VLOOKUP(X$2,MODULY_CBA!$B$3:$N$23,13,0)&lt;='TCO TO BE- SW'!$D124,SUM('TCO TO BE- SW'!X$37:X$46)*VLOOKUP('TCO TO BE- SW'!X$2,MODULY_CBA!$B$3:$L$23,11,0),0),0)</f>
        <v>38750.744480651512</v>
      </c>
      <c r="Y124" s="577">
        <f>IFERROR(IF(VLOOKUP(Y$2,MODULY_CBA!$B$3:$N$23,13,0)&lt;='TCO TO BE- SW'!$D124,SUM('TCO TO BE- SW'!Y$37:Y$46)*VLOOKUP('TCO TO BE- SW'!Y$2,MODULY_CBA!$B$3:$L$23,11,0),0),0)</f>
        <v>14556.117216082297</v>
      </c>
      <c r="Z124" s="577">
        <f>IFERROR(IF(VLOOKUP(Z$2,MODULY_CBA!$B$3:$N$23,13,0)&lt;='TCO TO BE- SW'!$D124,SUM('TCO TO BE- SW'!Z$37:Z$46)*VLOOKUP('TCO TO BE- SW'!Z$2,MODULY_CBA!$B$3:$L$23,11,0),0),0)</f>
        <v>0</v>
      </c>
    </row>
    <row r="125" spans="1:26" outlineLevel="2">
      <c r="A125" s="807"/>
      <c r="B125" s="808"/>
      <c r="C125" s="808"/>
      <c r="D125" s="64">
        <v>6</v>
      </c>
      <c r="E125" s="68">
        <f t="shared" si="14"/>
        <v>764851.83480000007</v>
      </c>
      <c r="F125" s="577">
        <f>IFERROR(IF(VLOOKUP(F$2,MODULY_CBA!$B$3:$N$23,13,0)&lt;='TCO TO BE- SW'!$D125,SUM('TCO TO BE- SW'!F$37:F$46)*VLOOKUP('TCO TO BE- SW'!F$2,MODULY_CBA!$B$3:$L$23,11,0),0),0)</f>
        <v>119661.77441148733</v>
      </c>
      <c r="G125" s="577">
        <f>IFERROR(IF(VLOOKUP(G$2,MODULY_CBA!$B$3:$N$23,13,0)&lt;='TCO TO BE- SW'!$D125,SUM('TCO TO BE- SW'!G$37:G$46)*VLOOKUP('TCO TO BE- SW'!G$2,MODULY_CBA!$B$3:$L$23,11,0),0),0)</f>
        <v>25899.397749335618</v>
      </c>
      <c r="H125" s="577">
        <f>IFERROR(IF(VLOOKUP(H$2,MODULY_CBA!$B$3:$N$23,13,0)&lt;='TCO TO BE- SW'!$D125,SUM('TCO TO BE- SW'!H$37:H$46)*VLOOKUP('TCO TO BE- SW'!H$2,MODULY_CBA!$B$3:$L$23,11,0),0),0)</f>
        <v>35603.475893390474</v>
      </c>
      <c r="I125" s="577">
        <f>IFERROR(IF(VLOOKUP(I$2,MODULY_CBA!$B$3:$N$23,13,0)&lt;='TCO TO BE- SW'!$D125,SUM('TCO TO BE- SW'!I$37:I$46)*VLOOKUP('TCO TO BE- SW'!I$2,MODULY_CBA!$B$3:$L$23,11,0),0),0)</f>
        <v>46028.803088692664</v>
      </c>
      <c r="J125" s="577">
        <f>IFERROR(IF(VLOOKUP(J$2,MODULY_CBA!$B$3:$N$23,13,0)&lt;='TCO TO BE- SW'!$D125,SUM('TCO TO BE- SW'!J$37:J$46)*VLOOKUP('TCO TO BE- SW'!J$2,MODULY_CBA!$B$3:$L$23,11,0),0),0)</f>
        <v>12130.09768006858</v>
      </c>
      <c r="K125" s="577">
        <f>IFERROR(IF(VLOOKUP(K$2,MODULY_CBA!$B$3:$N$23,13,0)&lt;='TCO TO BE- SW'!$D125,SUM('TCO TO BE- SW'!K$37:K$46)*VLOOKUP('TCO TO BE- SW'!K$2,MODULY_CBA!$B$3:$L$23,11,0),0),0)</f>
        <v>26620.646800582937</v>
      </c>
      <c r="L125" s="577">
        <f>IFERROR(IF(VLOOKUP(L$2,MODULY_CBA!$B$3:$N$23,13,0)&lt;='TCO TO BE- SW'!$D125,SUM('TCO TO BE- SW'!L$37:L$46)*VLOOKUP('TCO TO BE- SW'!L$2,MODULY_CBA!$B$3:$L$23,11,0),0),0)</f>
        <v>55732.881232747524</v>
      </c>
      <c r="M125" s="577">
        <f>IFERROR(IF(VLOOKUP(M$2,MODULY_CBA!$B$3:$N$23,13,0)&lt;='TCO TO BE- SW'!$D125,SUM('TCO TO BE- SW'!M$37:M$46)*VLOOKUP('TCO TO BE- SW'!M$2,MODULY_CBA!$B$3:$L$23,11,0),0),0)</f>
        <v>65371.391281234464</v>
      </c>
      <c r="N125" s="577">
        <f>IFERROR(IF(VLOOKUP(N$2,MODULY_CBA!$B$3:$N$23,13,0)&lt;='TCO TO BE- SW'!$D125,SUM('TCO TO BE- SW'!N$37:N$46)*VLOOKUP('TCO TO BE- SW'!N$2,MODULY_CBA!$B$3:$L$23,11,0),0),0)</f>
        <v>29046.666336596656</v>
      </c>
      <c r="O125" s="577">
        <f>IFERROR(IF(VLOOKUP(O$2,MODULY_CBA!$B$3:$N$23,13,0)&lt;='TCO TO BE- SW'!$D125,SUM('TCO TO BE- SW'!O$37:O$46)*VLOOKUP('TCO TO BE- SW'!O$2,MODULY_CBA!$B$3:$L$23,11,0),0),0)</f>
        <v>43602.783552678957</v>
      </c>
      <c r="P125" s="577">
        <f>IFERROR(IF(VLOOKUP(P$2,MODULY_CBA!$B$3:$N$23,13,0)&lt;='TCO TO BE- SW'!$D125,SUM('TCO TO BE- SW'!P$37:P$46)*VLOOKUP('TCO TO BE- SW'!P$2,MODULY_CBA!$B$3:$L$23,11,0),0),0)</f>
        <v>33898.705408624082</v>
      </c>
      <c r="Q125" s="577">
        <f>IFERROR(IF(VLOOKUP(Q$2,MODULY_CBA!$B$3:$N$23,13,0)&lt;='TCO TO BE- SW'!$D125,SUM('TCO TO BE- SW'!Q$37:Q$46)*VLOOKUP('TCO TO BE- SW'!Q$2,MODULY_CBA!$B$3:$L$23,11,0),0),0)</f>
        <v>24194.627264569226</v>
      </c>
      <c r="R125" s="577">
        <f>IFERROR(IF(VLOOKUP(R$2,MODULY_CBA!$B$3:$N$23,13,0)&lt;='TCO TO BE- SW'!$D125,SUM('TCO TO BE- SW'!R$37:R$46)*VLOOKUP('TCO TO BE- SW'!R$2,MODULY_CBA!$B$3:$L$23,11,0),0),0)</f>
        <v>24194.627264569226</v>
      </c>
      <c r="S125" s="577">
        <f>IFERROR(IF(VLOOKUP(S$2,MODULY_CBA!$B$3:$N$23,13,0)&lt;='TCO TO BE- SW'!$D125,SUM('TCO TO BE- SW'!S$37:S$46)*VLOOKUP('TCO TO BE- SW'!S$2,MODULY_CBA!$B$3:$L$23,11,0),0),0)</f>
        <v>36324.724944637797</v>
      </c>
      <c r="T125" s="577">
        <f>IFERROR(IF(VLOOKUP(T$2,MODULY_CBA!$B$3:$N$23,13,0)&lt;='TCO TO BE- SW'!$D125,SUM('TCO TO BE- SW'!T$37:T$46)*VLOOKUP('TCO TO BE- SW'!T$2,MODULY_CBA!$B$3:$L$23,11,0),0),0)</f>
        <v>41176.764016665235</v>
      </c>
      <c r="U125" s="577">
        <f>IFERROR(IF(VLOOKUP(U$2,MODULY_CBA!$B$3:$N$23,13,0)&lt;='TCO TO BE- SW'!$D125,SUM('TCO TO BE- SW'!U$37:U$46)*VLOOKUP('TCO TO BE- SW'!U$2,MODULY_CBA!$B$3:$L$23,11,0),0),0)</f>
        <v>38750.744480651512</v>
      </c>
      <c r="V125" s="577">
        <f>IFERROR(IF(VLOOKUP(V$2,MODULY_CBA!$B$3:$N$23,13,0)&lt;='TCO TO BE- SW'!$D125,SUM('TCO TO BE- SW'!V$37:V$46)*VLOOKUP('TCO TO BE- SW'!V$2,MODULY_CBA!$B$3:$L$23,11,0),0),0)</f>
        <v>19408.156288109727</v>
      </c>
      <c r="W125" s="577">
        <f>IFERROR(IF(VLOOKUP(W$2,MODULY_CBA!$B$3:$N$23,13,0)&lt;='TCO TO BE- SW'!$D125,SUM('TCO TO BE- SW'!W$37:W$46)*VLOOKUP('TCO TO BE- SW'!W$2,MODULY_CBA!$B$3:$L$23,11,0),0),0)</f>
        <v>33898.705408624082</v>
      </c>
      <c r="X125" s="577">
        <f>IFERROR(IF(VLOOKUP(X$2,MODULY_CBA!$B$3:$N$23,13,0)&lt;='TCO TO BE- SW'!$D125,SUM('TCO TO BE- SW'!X$37:X$46)*VLOOKUP('TCO TO BE- SW'!X$2,MODULY_CBA!$B$3:$L$23,11,0),0),0)</f>
        <v>38750.744480651512</v>
      </c>
      <c r="Y125" s="577">
        <f>IFERROR(IF(VLOOKUP(Y$2,MODULY_CBA!$B$3:$N$23,13,0)&lt;='TCO TO BE- SW'!$D125,SUM('TCO TO BE- SW'!Y$37:Y$46)*VLOOKUP('TCO TO BE- SW'!Y$2,MODULY_CBA!$B$3:$L$23,11,0),0),0)</f>
        <v>14556.117216082297</v>
      </c>
      <c r="Z125" s="577">
        <f>IFERROR(IF(VLOOKUP(Z$2,MODULY_CBA!$B$3:$N$23,13,0)&lt;='TCO TO BE- SW'!$D125,SUM('TCO TO BE- SW'!Z$37:Z$46)*VLOOKUP('TCO TO BE- SW'!Z$2,MODULY_CBA!$B$3:$L$23,11,0),0),0)</f>
        <v>0</v>
      </c>
    </row>
    <row r="126" spans="1:26" outlineLevel="2">
      <c r="A126" s="807"/>
      <c r="B126" s="808"/>
      <c r="C126" s="808"/>
      <c r="D126" s="64">
        <v>7</v>
      </c>
      <c r="E126" s="68">
        <f t="shared" si="14"/>
        <v>764851.83480000007</v>
      </c>
      <c r="F126" s="577">
        <f>IFERROR(IF(VLOOKUP(F$2,MODULY_CBA!$B$3:$N$23,13,0)&lt;='TCO TO BE- SW'!$D126,SUM('TCO TO BE- SW'!F$37:F$46)*VLOOKUP('TCO TO BE- SW'!F$2,MODULY_CBA!$B$3:$L$23,11,0),0),0)</f>
        <v>119661.77441148733</v>
      </c>
      <c r="G126" s="577">
        <f>IFERROR(IF(VLOOKUP(G$2,MODULY_CBA!$B$3:$N$23,13,0)&lt;='TCO TO BE- SW'!$D126,SUM('TCO TO BE- SW'!G$37:G$46)*VLOOKUP('TCO TO BE- SW'!G$2,MODULY_CBA!$B$3:$L$23,11,0),0),0)</f>
        <v>25899.397749335618</v>
      </c>
      <c r="H126" s="577">
        <f>IFERROR(IF(VLOOKUP(H$2,MODULY_CBA!$B$3:$N$23,13,0)&lt;='TCO TO BE- SW'!$D126,SUM('TCO TO BE- SW'!H$37:H$46)*VLOOKUP('TCO TO BE- SW'!H$2,MODULY_CBA!$B$3:$L$23,11,0),0),0)</f>
        <v>35603.475893390474</v>
      </c>
      <c r="I126" s="577">
        <f>IFERROR(IF(VLOOKUP(I$2,MODULY_CBA!$B$3:$N$23,13,0)&lt;='TCO TO BE- SW'!$D126,SUM('TCO TO BE- SW'!I$37:I$46)*VLOOKUP('TCO TO BE- SW'!I$2,MODULY_CBA!$B$3:$L$23,11,0),0),0)</f>
        <v>46028.803088692664</v>
      </c>
      <c r="J126" s="577">
        <f>IFERROR(IF(VLOOKUP(J$2,MODULY_CBA!$B$3:$N$23,13,0)&lt;='TCO TO BE- SW'!$D126,SUM('TCO TO BE- SW'!J$37:J$46)*VLOOKUP('TCO TO BE- SW'!J$2,MODULY_CBA!$B$3:$L$23,11,0),0),0)</f>
        <v>12130.09768006858</v>
      </c>
      <c r="K126" s="577">
        <f>IFERROR(IF(VLOOKUP(K$2,MODULY_CBA!$B$3:$N$23,13,0)&lt;='TCO TO BE- SW'!$D126,SUM('TCO TO BE- SW'!K$37:K$46)*VLOOKUP('TCO TO BE- SW'!K$2,MODULY_CBA!$B$3:$L$23,11,0),0),0)</f>
        <v>26620.646800582937</v>
      </c>
      <c r="L126" s="577">
        <f>IFERROR(IF(VLOOKUP(L$2,MODULY_CBA!$B$3:$N$23,13,0)&lt;='TCO TO BE- SW'!$D126,SUM('TCO TO BE- SW'!L$37:L$46)*VLOOKUP('TCO TO BE- SW'!L$2,MODULY_CBA!$B$3:$L$23,11,0),0),0)</f>
        <v>55732.881232747524</v>
      </c>
      <c r="M126" s="577">
        <f>IFERROR(IF(VLOOKUP(M$2,MODULY_CBA!$B$3:$N$23,13,0)&lt;='TCO TO BE- SW'!$D126,SUM('TCO TO BE- SW'!M$37:M$46)*VLOOKUP('TCO TO BE- SW'!M$2,MODULY_CBA!$B$3:$L$23,11,0),0),0)</f>
        <v>65371.391281234464</v>
      </c>
      <c r="N126" s="577">
        <f>IFERROR(IF(VLOOKUP(N$2,MODULY_CBA!$B$3:$N$23,13,0)&lt;='TCO TO BE- SW'!$D126,SUM('TCO TO BE- SW'!N$37:N$46)*VLOOKUP('TCO TO BE- SW'!N$2,MODULY_CBA!$B$3:$L$23,11,0),0),0)</f>
        <v>29046.666336596656</v>
      </c>
      <c r="O126" s="577">
        <f>IFERROR(IF(VLOOKUP(O$2,MODULY_CBA!$B$3:$N$23,13,0)&lt;='TCO TO BE- SW'!$D126,SUM('TCO TO BE- SW'!O$37:O$46)*VLOOKUP('TCO TO BE- SW'!O$2,MODULY_CBA!$B$3:$L$23,11,0),0),0)</f>
        <v>43602.783552678957</v>
      </c>
      <c r="P126" s="577">
        <f>IFERROR(IF(VLOOKUP(P$2,MODULY_CBA!$B$3:$N$23,13,0)&lt;='TCO TO BE- SW'!$D126,SUM('TCO TO BE- SW'!P$37:P$46)*VLOOKUP('TCO TO BE- SW'!P$2,MODULY_CBA!$B$3:$L$23,11,0),0),0)</f>
        <v>33898.705408624082</v>
      </c>
      <c r="Q126" s="577">
        <f>IFERROR(IF(VLOOKUP(Q$2,MODULY_CBA!$B$3:$N$23,13,0)&lt;='TCO TO BE- SW'!$D126,SUM('TCO TO BE- SW'!Q$37:Q$46)*VLOOKUP('TCO TO BE- SW'!Q$2,MODULY_CBA!$B$3:$L$23,11,0),0),0)</f>
        <v>24194.627264569226</v>
      </c>
      <c r="R126" s="577">
        <f>IFERROR(IF(VLOOKUP(R$2,MODULY_CBA!$B$3:$N$23,13,0)&lt;='TCO TO BE- SW'!$D126,SUM('TCO TO BE- SW'!R$37:R$46)*VLOOKUP('TCO TO BE- SW'!R$2,MODULY_CBA!$B$3:$L$23,11,0),0),0)</f>
        <v>24194.627264569226</v>
      </c>
      <c r="S126" s="577">
        <f>IFERROR(IF(VLOOKUP(S$2,MODULY_CBA!$B$3:$N$23,13,0)&lt;='TCO TO BE- SW'!$D126,SUM('TCO TO BE- SW'!S$37:S$46)*VLOOKUP('TCO TO BE- SW'!S$2,MODULY_CBA!$B$3:$L$23,11,0),0),0)</f>
        <v>36324.724944637797</v>
      </c>
      <c r="T126" s="577">
        <f>IFERROR(IF(VLOOKUP(T$2,MODULY_CBA!$B$3:$N$23,13,0)&lt;='TCO TO BE- SW'!$D126,SUM('TCO TO BE- SW'!T$37:T$46)*VLOOKUP('TCO TO BE- SW'!T$2,MODULY_CBA!$B$3:$L$23,11,0),0),0)</f>
        <v>41176.764016665235</v>
      </c>
      <c r="U126" s="577">
        <f>IFERROR(IF(VLOOKUP(U$2,MODULY_CBA!$B$3:$N$23,13,0)&lt;='TCO TO BE- SW'!$D126,SUM('TCO TO BE- SW'!U$37:U$46)*VLOOKUP('TCO TO BE- SW'!U$2,MODULY_CBA!$B$3:$L$23,11,0),0),0)</f>
        <v>38750.744480651512</v>
      </c>
      <c r="V126" s="577">
        <f>IFERROR(IF(VLOOKUP(V$2,MODULY_CBA!$B$3:$N$23,13,0)&lt;='TCO TO BE- SW'!$D126,SUM('TCO TO BE- SW'!V$37:V$46)*VLOOKUP('TCO TO BE- SW'!V$2,MODULY_CBA!$B$3:$L$23,11,0),0),0)</f>
        <v>19408.156288109727</v>
      </c>
      <c r="W126" s="577">
        <f>IFERROR(IF(VLOOKUP(W$2,MODULY_CBA!$B$3:$N$23,13,0)&lt;='TCO TO BE- SW'!$D126,SUM('TCO TO BE- SW'!W$37:W$46)*VLOOKUP('TCO TO BE- SW'!W$2,MODULY_CBA!$B$3:$L$23,11,0),0),0)</f>
        <v>33898.705408624082</v>
      </c>
      <c r="X126" s="577">
        <f>IFERROR(IF(VLOOKUP(X$2,MODULY_CBA!$B$3:$N$23,13,0)&lt;='TCO TO BE- SW'!$D126,SUM('TCO TO BE- SW'!X$37:X$46)*VLOOKUP('TCO TO BE- SW'!X$2,MODULY_CBA!$B$3:$L$23,11,0),0),0)</f>
        <v>38750.744480651512</v>
      </c>
      <c r="Y126" s="577">
        <f>IFERROR(IF(VLOOKUP(Y$2,MODULY_CBA!$B$3:$N$23,13,0)&lt;='TCO TO BE- SW'!$D126,SUM('TCO TO BE- SW'!Y$37:Y$46)*VLOOKUP('TCO TO BE- SW'!Y$2,MODULY_CBA!$B$3:$L$23,11,0),0),0)</f>
        <v>14556.117216082297</v>
      </c>
      <c r="Z126" s="577">
        <f>IFERROR(IF(VLOOKUP(Z$2,MODULY_CBA!$B$3:$N$23,13,0)&lt;='TCO TO BE- SW'!$D126,SUM('TCO TO BE- SW'!Z$37:Z$46)*VLOOKUP('TCO TO BE- SW'!Z$2,MODULY_CBA!$B$3:$L$23,11,0),0),0)</f>
        <v>0</v>
      </c>
    </row>
    <row r="127" spans="1:26" outlineLevel="2">
      <c r="A127" s="807"/>
      <c r="B127" s="808"/>
      <c r="C127" s="808"/>
      <c r="D127" s="64">
        <v>8</v>
      </c>
      <c r="E127" s="68">
        <f t="shared" si="14"/>
        <v>764851.83480000007</v>
      </c>
      <c r="F127" s="577">
        <f>IFERROR(IF(VLOOKUP(F$2,MODULY_CBA!$B$3:$N$23,13,0)&lt;='TCO TO BE- SW'!$D127,SUM('TCO TO BE- SW'!F$37:F$46)*VLOOKUP('TCO TO BE- SW'!F$2,MODULY_CBA!$B$3:$L$23,11,0),0),0)</f>
        <v>119661.77441148733</v>
      </c>
      <c r="G127" s="577">
        <f>IFERROR(IF(VLOOKUP(G$2,MODULY_CBA!$B$3:$N$23,13,0)&lt;='TCO TO BE- SW'!$D127,SUM('TCO TO BE- SW'!G$37:G$46)*VLOOKUP('TCO TO BE- SW'!G$2,MODULY_CBA!$B$3:$L$23,11,0),0),0)</f>
        <v>25899.397749335618</v>
      </c>
      <c r="H127" s="577">
        <f>IFERROR(IF(VLOOKUP(H$2,MODULY_CBA!$B$3:$N$23,13,0)&lt;='TCO TO BE- SW'!$D127,SUM('TCO TO BE- SW'!H$37:H$46)*VLOOKUP('TCO TO BE- SW'!H$2,MODULY_CBA!$B$3:$L$23,11,0),0),0)</f>
        <v>35603.475893390474</v>
      </c>
      <c r="I127" s="577">
        <f>IFERROR(IF(VLOOKUP(I$2,MODULY_CBA!$B$3:$N$23,13,0)&lt;='TCO TO BE- SW'!$D127,SUM('TCO TO BE- SW'!I$37:I$46)*VLOOKUP('TCO TO BE- SW'!I$2,MODULY_CBA!$B$3:$L$23,11,0),0),0)</f>
        <v>46028.803088692664</v>
      </c>
      <c r="J127" s="577">
        <f>IFERROR(IF(VLOOKUP(J$2,MODULY_CBA!$B$3:$N$23,13,0)&lt;='TCO TO BE- SW'!$D127,SUM('TCO TO BE- SW'!J$37:J$46)*VLOOKUP('TCO TO BE- SW'!J$2,MODULY_CBA!$B$3:$L$23,11,0),0),0)</f>
        <v>12130.09768006858</v>
      </c>
      <c r="K127" s="577">
        <f>IFERROR(IF(VLOOKUP(K$2,MODULY_CBA!$B$3:$N$23,13,0)&lt;='TCO TO BE- SW'!$D127,SUM('TCO TO BE- SW'!K$37:K$46)*VLOOKUP('TCO TO BE- SW'!K$2,MODULY_CBA!$B$3:$L$23,11,0),0),0)</f>
        <v>26620.646800582937</v>
      </c>
      <c r="L127" s="577">
        <f>IFERROR(IF(VLOOKUP(L$2,MODULY_CBA!$B$3:$N$23,13,0)&lt;='TCO TO BE- SW'!$D127,SUM('TCO TO BE- SW'!L$37:L$46)*VLOOKUP('TCO TO BE- SW'!L$2,MODULY_CBA!$B$3:$L$23,11,0),0),0)</f>
        <v>55732.881232747524</v>
      </c>
      <c r="M127" s="577">
        <f>IFERROR(IF(VLOOKUP(M$2,MODULY_CBA!$B$3:$N$23,13,0)&lt;='TCO TO BE- SW'!$D127,SUM('TCO TO BE- SW'!M$37:M$46)*VLOOKUP('TCO TO BE- SW'!M$2,MODULY_CBA!$B$3:$L$23,11,0),0),0)</f>
        <v>65371.391281234464</v>
      </c>
      <c r="N127" s="577">
        <f>IFERROR(IF(VLOOKUP(N$2,MODULY_CBA!$B$3:$N$23,13,0)&lt;='TCO TO BE- SW'!$D127,SUM('TCO TO BE- SW'!N$37:N$46)*VLOOKUP('TCO TO BE- SW'!N$2,MODULY_CBA!$B$3:$L$23,11,0),0),0)</f>
        <v>29046.666336596656</v>
      </c>
      <c r="O127" s="577">
        <f>IFERROR(IF(VLOOKUP(O$2,MODULY_CBA!$B$3:$N$23,13,0)&lt;='TCO TO BE- SW'!$D127,SUM('TCO TO BE- SW'!O$37:O$46)*VLOOKUP('TCO TO BE- SW'!O$2,MODULY_CBA!$B$3:$L$23,11,0),0),0)</f>
        <v>43602.783552678957</v>
      </c>
      <c r="P127" s="577">
        <f>IFERROR(IF(VLOOKUP(P$2,MODULY_CBA!$B$3:$N$23,13,0)&lt;='TCO TO BE- SW'!$D127,SUM('TCO TO BE- SW'!P$37:P$46)*VLOOKUP('TCO TO BE- SW'!P$2,MODULY_CBA!$B$3:$L$23,11,0),0),0)</f>
        <v>33898.705408624082</v>
      </c>
      <c r="Q127" s="577">
        <f>IFERROR(IF(VLOOKUP(Q$2,MODULY_CBA!$B$3:$N$23,13,0)&lt;='TCO TO BE- SW'!$D127,SUM('TCO TO BE- SW'!Q$37:Q$46)*VLOOKUP('TCO TO BE- SW'!Q$2,MODULY_CBA!$B$3:$L$23,11,0),0),0)</f>
        <v>24194.627264569226</v>
      </c>
      <c r="R127" s="577">
        <f>IFERROR(IF(VLOOKUP(R$2,MODULY_CBA!$B$3:$N$23,13,0)&lt;='TCO TO BE- SW'!$D127,SUM('TCO TO BE- SW'!R$37:R$46)*VLOOKUP('TCO TO BE- SW'!R$2,MODULY_CBA!$B$3:$L$23,11,0),0),0)</f>
        <v>24194.627264569226</v>
      </c>
      <c r="S127" s="577">
        <f>IFERROR(IF(VLOOKUP(S$2,MODULY_CBA!$B$3:$N$23,13,0)&lt;='TCO TO BE- SW'!$D127,SUM('TCO TO BE- SW'!S$37:S$46)*VLOOKUP('TCO TO BE- SW'!S$2,MODULY_CBA!$B$3:$L$23,11,0),0),0)</f>
        <v>36324.724944637797</v>
      </c>
      <c r="T127" s="577">
        <f>IFERROR(IF(VLOOKUP(T$2,MODULY_CBA!$B$3:$N$23,13,0)&lt;='TCO TO BE- SW'!$D127,SUM('TCO TO BE- SW'!T$37:T$46)*VLOOKUP('TCO TO BE- SW'!T$2,MODULY_CBA!$B$3:$L$23,11,0),0),0)</f>
        <v>41176.764016665235</v>
      </c>
      <c r="U127" s="577">
        <f>IFERROR(IF(VLOOKUP(U$2,MODULY_CBA!$B$3:$N$23,13,0)&lt;='TCO TO BE- SW'!$D127,SUM('TCO TO BE- SW'!U$37:U$46)*VLOOKUP('TCO TO BE- SW'!U$2,MODULY_CBA!$B$3:$L$23,11,0),0),0)</f>
        <v>38750.744480651512</v>
      </c>
      <c r="V127" s="577">
        <f>IFERROR(IF(VLOOKUP(V$2,MODULY_CBA!$B$3:$N$23,13,0)&lt;='TCO TO BE- SW'!$D127,SUM('TCO TO BE- SW'!V$37:V$46)*VLOOKUP('TCO TO BE- SW'!V$2,MODULY_CBA!$B$3:$L$23,11,0),0),0)</f>
        <v>19408.156288109727</v>
      </c>
      <c r="W127" s="577">
        <f>IFERROR(IF(VLOOKUP(W$2,MODULY_CBA!$B$3:$N$23,13,0)&lt;='TCO TO BE- SW'!$D127,SUM('TCO TO BE- SW'!W$37:W$46)*VLOOKUP('TCO TO BE- SW'!W$2,MODULY_CBA!$B$3:$L$23,11,0),0),0)</f>
        <v>33898.705408624082</v>
      </c>
      <c r="X127" s="577">
        <f>IFERROR(IF(VLOOKUP(X$2,MODULY_CBA!$B$3:$N$23,13,0)&lt;='TCO TO BE- SW'!$D127,SUM('TCO TO BE- SW'!X$37:X$46)*VLOOKUP('TCO TO BE- SW'!X$2,MODULY_CBA!$B$3:$L$23,11,0),0),0)</f>
        <v>38750.744480651512</v>
      </c>
      <c r="Y127" s="577">
        <f>IFERROR(IF(VLOOKUP(Y$2,MODULY_CBA!$B$3:$N$23,13,0)&lt;='TCO TO BE- SW'!$D127,SUM('TCO TO BE- SW'!Y$37:Y$46)*VLOOKUP('TCO TO BE- SW'!Y$2,MODULY_CBA!$B$3:$L$23,11,0),0),0)</f>
        <v>14556.117216082297</v>
      </c>
      <c r="Z127" s="577">
        <f>IFERROR(IF(VLOOKUP(Z$2,MODULY_CBA!$B$3:$N$23,13,0)&lt;='TCO TO BE- SW'!$D127,SUM('TCO TO BE- SW'!Z$37:Z$46)*VLOOKUP('TCO TO BE- SW'!Z$2,MODULY_CBA!$B$3:$L$23,11,0),0),0)</f>
        <v>0</v>
      </c>
    </row>
    <row r="128" spans="1:26" outlineLevel="2">
      <c r="A128" s="807"/>
      <c r="B128" s="808"/>
      <c r="C128" s="808"/>
      <c r="D128" s="64">
        <v>9</v>
      </c>
      <c r="E128" s="68">
        <f t="shared" si="14"/>
        <v>764851.83480000007</v>
      </c>
      <c r="F128" s="577">
        <f>IFERROR(IF(VLOOKUP(F$2,MODULY_CBA!$B$3:$N$23,13,0)&lt;='TCO TO BE- SW'!$D128,SUM('TCO TO BE- SW'!F$37:F$46)*VLOOKUP('TCO TO BE- SW'!F$2,MODULY_CBA!$B$3:$L$23,11,0),0),0)</f>
        <v>119661.77441148733</v>
      </c>
      <c r="G128" s="577">
        <f>IFERROR(IF(VLOOKUP(G$2,MODULY_CBA!$B$3:$N$23,13,0)&lt;='TCO TO BE- SW'!$D128,SUM('TCO TO BE- SW'!G$37:G$46)*VLOOKUP('TCO TO BE- SW'!G$2,MODULY_CBA!$B$3:$L$23,11,0),0),0)</f>
        <v>25899.397749335618</v>
      </c>
      <c r="H128" s="577">
        <f>IFERROR(IF(VLOOKUP(H$2,MODULY_CBA!$B$3:$N$23,13,0)&lt;='TCO TO BE- SW'!$D128,SUM('TCO TO BE- SW'!H$37:H$46)*VLOOKUP('TCO TO BE- SW'!H$2,MODULY_CBA!$B$3:$L$23,11,0),0),0)</f>
        <v>35603.475893390474</v>
      </c>
      <c r="I128" s="577">
        <f>IFERROR(IF(VLOOKUP(I$2,MODULY_CBA!$B$3:$N$23,13,0)&lt;='TCO TO BE- SW'!$D128,SUM('TCO TO BE- SW'!I$37:I$46)*VLOOKUP('TCO TO BE- SW'!I$2,MODULY_CBA!$B$3:$L$23,11,0),0),0)</f>
        <v>46028.803088692664</v>
      </c>
      <c r="J128" s="577">
        <f>IFERROR(IF(VLOOKUP(J$2,MODULY_CBA!$B$3:$N$23,13,0)&lt;='TCO TO BE- SW'!$D128,SUM('TCO TO BE- SW'!J$37:J$46)*VLOOKUP('TCO TO BE- SW'!J$2,MODULY_CBA!$B$3:$L$23,11,0),0),0)</f>
        <v>12130.09768006858</v>
      </c>
      <c r="K128" s="577">
        <f>IFERROR(IF(VLOOKUP(K$2,MODULY_CBA!$B$3:$N$23,13,0)&lt;='TCO TO BE- SW'!$D128,SUM('TCO TO BE- SW'!K$37:K$46)*VLOOKUP('TCO TO BE- SW'!K$2,MODULY_CBA!$B$3:$L$23,11,0),0),0)</f>
        <v>26620.646800582937</v>
      </c>
      <c r="L128" s="577">
        <f>IFERROR(IF(VLOOKUP(L$2,MODULY_CBA!$B$3:$N$23,13,0)&lt;='TCO TO BE- SW'!$D128,SUM('TCO TO BE- SW'!L$37:L$46)*VLOOKUP('TCO TO BE- SW'!L$2,MODULY_CBA!$B$3:$L$23,11,0),0),0)</f>
        <v>55732.881232747524</v>
      </c>
      <c r="M128" s="577">
        <f>IFERROR(IF(VLOOKUP(M$2,MODULY_CBA!$B$3:$N$23,13,0)&lt;='TCO TO BE- SW'!$D128,SUM('TCO TO BE- SW'!M$37:M$46)*VLOOKUP('TCO TO BE- SW'!M$2,MODULY_CBA!$B$3:$L$23,11,0),0),0)</f>
        <v>65371.391281234464</v>
      </c>
      <c r="N128" s="577">
        <f>IFERROR(IF(VLOOKUP(N$2,MODULY_CBA!$B$3:$N$23,13,0)&lt;='TCO TO BE- SW'!$D128,SUM('TCO TO BE- SW'!N$37:N$46)*VLOOKUP('TCO TO BE- SW'!N$2,MODULY_CBA!$B$3:$L$23,11,0),0),0)</f>
        <v>29046.666336596656</v>
      </c>
      <c r="O128" s="577">
        <f>IFERROR(IF(VLOOKUP(O$2,MODULY_CBA!$B$3:$N$23,13,0)&lt;='TCO TO BE- SW'!$D128,SUM('TCO TO BE- SW'!O$37:O$46)*VLOOKUP('TCO TO BE- SW'!O$2,MODULY_CBA!$B$3:$L$23,11,0),0),0)</f>
        <v>43602.783552678957</v>
      </c>
      <c r="P128" s="577">
        <f>IFERROR(IF(VLOOKUP(P$2,MODULY_CBA!$B$3:$N$23,13,0)&lt;='TCO TO BE- SW'!$D128,SUM('TCO TO BE- SW'!P$37:P$46)*VLOOKUP('TCO TO BE- SW'!P$2,MODULY_CBA!$B$3:$L$23,11,0),0),0)</f>
        <v>33898.705408624082</v>
      </c>
      <c r="Q128" s="577">
        <f>IFERROR(IF(VLOOKUP(Q$2,MODULY_CBA!$B$3:$N$23,13,0)&lt;='TCO TO BE- SW'!$D128,SUM('TCO TO BE- SW'!Q$37:Q$46)*VLOOKUP('TCO TO BE- SW'!Q$2,MODULY_CBA!$B$3:$L$23,11,0),0),0)</f>
        <v>24194.627264569226</v>
      </c>
      <c r="R128" s="577">
        <f>IFERROR(IF(VLOOKUP(R$2,MODULY_CBA!$B$3:$N$23,13,0)&lt;='TCO TO BE- SW'!$D128,SUM('TCO TO BE- SW'!R$37:R$46)*VLOOKUP('TCO TO BE- SW'!R$2,MODULY_CBA!$B$3:$L$23,11,0),0),0)</f>
        <v>24194.627264569226</v>
      </c>
      <c r="S128" s="577">
        <f>IFERROR(IF(VLOOKUP(S$2,MODULY_CBA!$B$3:$N$23,13,0)&lt;='TCO TO BE- SW'!$D128,SUM('TCO TO BE- SW'!S$37:S$46)*VLOOKUP('TCO TO BE- SW'!S$2,MODULY_CBA!$B$3:$L$23,11,0),0),0)</f>
        <v>36324.724944637797</v>
      </c>
      <c r="T128" s="577">
        <f>IFERROR(IF(VLOOKUP(T$2,MODULY_CBA!$B$3:$N$23,13,0)&lt;='TCO TO BE- SW'!$D128,SUM('TCO TO BE- SW'!T$37:T$46)*VLOOKUP('TCO TO BE- SW'!T$2,MODULY_CBA!$B$3:$L$23,11,0),0),0)</f>
        <v>41176.764016665235</v>
      </c>
      <c r="U128" s="577">
        <f>IFERROR(IF(VLOOKUP(U$2,MODULY_CBA!$B$3:$N$23,13,0)&lt;='TCO TO BE- SW'!$D128,SUM('TCO TO BE- SW'!U$37:U$46)*VLOOKUP('TCO TO BE- SW'!U$2,MODULY_CBA!$B$3:$L$23,11,0),0),0)</f>
        <v>38750.744480651512</v>
      </c>
      <c r="V128" s="577">
        <f>IFERROR(IF(VLOOKUP(V$2,MODULY_CBA!$B$3:$N$23,13,0)&lt;='TCO TO BE- SW'!$D128,SUM('TCO TO BE- SW'!V$37:V$46)*VLOOKUP('TCO TO BE- SW'!V$2,MODULY_CBA!$B$3:$L$23,11,0),0),0)</f>
        <v>19408.156288109727</v>
      </c>
      <c r="W128" s="577">
        <f>IFERROR(IF(VLOOKUP(W$2,MODULY_CBA!$B$3:$N$23,13,0)&lt;='TCO TO BE- SW'!$D128,SUM('TCO TO BE- SW'!W$37:W$46)*VLOOKUP('TCO TO BE- SW'!W$2,MODULY_CBA!$B$3:$L$23,11,0),0),0)</f>
        <v>33898.705408624082</v>
      </c>
      <c r="X128" s="577">
        <f>IFERROR(IF(VLOOKUP(X$2,MODULY_CBA!$B$3:$N$23,13,0)&lt;='TCO TO BE- SW'!$D128,SUM('TCO TO BE- SW'!X$37:X$46)*VLOOKUP('TCO TO BE- SW'!X$2,MODULY_CBA!$B$3:$L$23,11,0),0),0)</f>
        <v>38750.744480651512</v>
      </c>
      <c r="Y128" s="577">
        <f>IFERROR(IF(VLOOKUP(Y$2,MODULY_CBA!$B$3:$N$23,13,0)&lt;='TCO TO BE- SW'!$D128,SUM('TCO TO BE- SW'!Y$37:Y$46)*VLOOKUP('TCO TO BE- SW'!Y$2,MODULY_CBA!$B$3:$L$23,11,0),0),0)</f>
        <v>14556.117216082297</v>
      </c>
      <c r="Z128" s="577">
        <f>IFERROR(IF(VLOOKUP(Z$2,MODULY_CBA!$B$3:$N$23,13,0)&lt;='TCO TO BE- SW'!$D128,SUM('TCO TO BE- SW'!Z$37:Z$46)*VLOOKUP('TCO TO BE- SW'!Z$2,MODULY_CBA!$B$3:$L$23,11,0),0),0)</f>
        <v>0</v>
      </c>
    </row>
    <row r="129" spans="1:27" ht="15.75" outlineLevel="2" thickBot="1">
      <c r="A129" s="807"/>
      <c r="B129" s="808"/>
      <c r="C129" s="808"/>
      <c r="D129" s="65">
        <v>10</v>
      </c>
      <c r="E129" s="69">
        <f t="shared" si="14"/>
        <v>764851.83480000007</v>
      </c>
      <c r="F129" s="577">
        <f>IFERROR(IF(VLOOKUP(F$2,MODULY_CBA!$B$3:$N$23,13,0)&lt;='TCO TO BE- SW'!$D129,SUM('TCO TO BE- SW'!F$37:F$46)*VLOOKUP('TCO TO BE- SW'!F$2,MODULY_CBA!$B$3:$L$23,11,0),0),0)</f>
        <v>119661.77441148733</v>
      </c>
      <c r="G129" s="577">
        <f>IFERROR(IF(VLOOKUP(G$2,MODULY_CBA!$B$3:$N$23,13,0)&lt;='TCO TO BE- SW'!$D129,SUM('TCO TO BE- SW'!G$37:G$46)*VLOOKUP('TCO TO BE- SW'!G$2,MODULY_CBA!$B$3:$L$23,11,0),0),0)</f>
        <v>25899.397749335618</v>
      </c>
      <c r="H129" s="577">
        <f>IFERROR(IF(VLOOKUP(H$2,MODULY_CBA!$B$3:$N$23,13,0)&lt;='TCO TO BE- SW'!$D129,SUM('TCO TO BE- SW'!H$37:H$46)*VLOOKUP('TCO TO BE- SW'!H$2,MODULY_CBA!$B$3:$L$23,11,0),0),0)</f>
        <v>35603.475893390474</v>
      </c>
      <c r="I129" s="577">
        <f>IFERROR(IF(VLOOKUP(I$2,MODULY_CBA!$B$3:$N$23,13,0)&lt;='TCO TO BE- SW'!$D129,SUM('TCO TO BE- SW'!I$37:I$46)*VLOOKUP('TCO TO BE- SW'!I$2,MODULY_CBA!$B$3:$L$23,11,0),0),0)</f>
        <v>46028.803088692664</v>
      </c>
      <c r="J129" s="577">
        <f>IFERROR(IF(VLOOKUP(J$2,MODULY_CBA!$B$3:$N$23,13,0)&lt;='TCO TO BE- SW'!$D129,SUM('TCO TO BE- SW'!J$37:J$46)*VLOOKUP('TCO TO BE- SW'!J$2,MODULY_CBA!$B$3:$L$23,11,0),0),0)</f>
        <v>12130.09768006858</v>
      </c>
      <c r="K129" s="577">
        <f>IFERROR(IF(VLOOKUP(K$2,MODULY_CBA!$B$3:$N$23,13,0)&lt;='TCO TO BE- SW'!$D129,SUM('TCO TO BE- SW'!K$37:K$46)*VLOOKUP('TCO TO BE- SW'!K$2,MODULY_CBA!$B$3:$L$23,11,0),0),0)</f>
        <v>26620.646800582937</v>
      </c>
      <c r="L129" s="577">
        <f>IFERROR(IF(VLOOKUP(L$2,MODULY_CBA!$B$3:$N$23,13,0)&lt;='TCO TO BE- SW'!$D129,SUM('TCO TO BE- SW'!L$37:L$46)*VLOOKUP('TCO TO BE- SW'!L$2,MODULY_CBA!$B$3:$L$23,11,0),0),0)</f>
        <v>55732.881232747524</v>
      </c>
      <c r="M129" s="577">
        <f>IFERROR(IF(VLOOKUP(M$2,MODULY_CBA!$B$3:$N$23,13,0)&lt;='TCO TO BE- SW'!$D129,SUM('TCO TO BE- SW'!M$37:M$46)*VLOOKUP('TCO TO BE- SW'!M$2,MODULY_CBA!$B$3:$L$23,11,0),0),0)</f>
        <v>65371.391281234464</v>
      </c>
      <c r="N129" s="577">
        <f>IFERROR(IF(VLOOKUP(N$2,MODULY_CBA!$B$3:$N$23,13,0)&lt;='TCO TO BE- SW'!$D129,SUM('TCO TO BE- SW'!N$37:N$46)*VLOOKUP('TCO TO BE- SW'!N$2,MODULY_CBA!$B$3:$L$23,11,0),0),0)</f>
        <v>29046.666336596656</v>
      </c>
      <c r="O129" s="577">
        <f>IFERROR(IF(VLOOKUP(O$2,MODULY_CBA!$B$3:$N$23,13,0)&lt;='TCO TO BE- SW'!$D129,SUM('TCO TO BE- SW'!O$37:O$46)*VLOOKUP('TCO TO BE- SW'!O$2,MODULY_CBA!$B$3:$L$23,11,0),0),0)</f>
        <v>43602.783552678957</v>
      </c>
      <c r="P129" s="577">
        <f>IFERROR(IF(VLOOKUP(P$2,MODULY_CBA!$B$3:$N$23,13,0)&lt;='TCO TO BE- SW'!$D129,SUM('TCO TO BE- SW'!P$37:P$46)*VLOOKUP('TCO TO BE- SW'!P$2,MODULY_CBA!$B$3:$L$23,11,0),0),0)</f>
        <v>33898.705408624082</v>
      </c>
      <c r="Q129" s="577">
        <f>IFERROR(IF(VLOOKUP(Q$2,MODULY_CBA!$B$3:$N$23,13,0)&lt;='TCO TO BE- SW'!$D129,SUM('TCO TO BE- SW'!Q$37:Q$46)*VLOOKUP('TCO TO BE- SW'!Q$2,MODULY_CBA!$B$3:$L$23,11,0),0),0)</f>
        <v>24194.627264569226</v>
      </c>
      <c r="R129" s="577">
        <f>IFERROR(IF(VLOOKUP(R$2,MODULY_CBA!$B$3:$N$23,13,0)&lt;='TCO TO BE- SW'!$D129,SUM('TCO TO BE- SW'!R$37:R$46)*VLOOKUP('TCO TO BE- SW'!R$2,MODULY_CBA!$B$3:$L$23,11,0),0),0)</f>
        <v>24194.627264569226</v>
      </c>
      <c r="S129" s="577">
        <f>IFERROR(IF(VLOOKUP(S$2,MODULY_CBA!$B$3:$N$23,13,0)&lt;='TCO TO BE- SW'!$D129,SUM('TCO TO BE- SW'!S$37:S$46)*VLOOKUP('TCO TO BE- SW'!S$2,MODULY_CBA!$B$3:$L$23,11,0),0),0)</f>
        <v>36324.724944637797</v>
      </c>
      <c r="T129" s="577">
        <f>IFERROR(IF(VLOOKUP(T$2,MODULY_CBA!$B$3:$N$23,13,0)&lt;='TCO TO BE- SW'!$D129,SUM('TCO TO BE- SW'!T$37:T$46)*VLOOKUP('TCO TO BE- SW'!T$2,MODULY_CBA!$B$3:$L$23,11,0),0),0)</f>
        <v>41176.764016665235</v>
      </c>
      <c r="U129" s="577">
        <f>IFERROR(IF(VLOOKUP(U$2,MODULY_CBA!$B$3:$N$23,13,0)&lt;='TCO TO BE- SW'!$D129,SUM('TCO TO BE- SW'!U$37:U$46)*VLOOKUP('TCO TO BE- SW'!U$2,MODULY_CBA!$B$3:$L$23,11,0),0),0)</f>
        <v>38750.744480651512</v>
      </c>
      <c r="V129" s="577">
        <f>IFERROR(IF(VLOOKUP(V$2,MODULY_CBA!$B$3:$N$23,13,0)&lt;='TCO TO BE- SW'!$D129,SUM('TCO TO BE- SW'!V$37:V$46)*VLOOKUP('TCO TO BE- SW'!V$2,MODULY_CBA!$B$3:$L$23,11,0),0),0)</f>
        <v>19408.156288109727</v>
      </c>
      <c r="W129" s="577">
        <f>IFERROR(IF(VLOOKUP(W$2,MODULY_CBA!$B$3:$N$23,13,0)&lt;='TCO TO BE- SW'!$D129,SUM('TCO TO BE- SW'!W$37:W$46)*VLOOKUP('TCO TO BE- SW'!W$2,MODULY_CBA!$B$3:$L$23,11,0),0),0)</f>
        <v>33898.705408624082</v>
      </c>
      <c r="X129" s="577">
        <f>IFERROR(IF(VLOOKUP(X$2,MODULY_CBA!$B$3:$N$23,13,0)&lt;='TCO TO BE- SW'!$D129,SUM('TCO TO BE- SW'!X$37:X$46)*VLOOKUP('TCO TO BE- SW'!X$2,MODULY_CBA!$B$3:$L$23,11,0),0),0)</f>
        <v>38750.744480651512</v>
      </c>
      <c r="Y129" s="577">
        <f>IFERROR(IF(VLOOKUP(Y$2,MODULY_CBA!$B$3:$N$23,13,0)&lt;='TCO TO BE- SW'!$D129,SUM('TCO TO BE- SW'!Y$37:Y$46)*VLOOKUP('TCO TO BE- SW'!Y$2,MODULY_CBA!$B$3:$L$23,11,0),0),0)</f>
        <v>14556.117216082297</v>
      </c>
      <c r="Z129" s="577">
        <f>IFERROR(IF(VLOOKUP(Z$2,MODULY_CBA!$B$3:$N$23,13,0)&lt;='TCO TO BE- SW'!$D129,SUM('TCO TO BE- SW'!Z$37:Z$46)*VLOOKUP('TCO TO BE- SW'!Z$2,MODULY_CBA!$B$3:$L$23,11,0),0),0)</f>
        <v>0</v>
      </c>
    </row>
    <row r="130" spans="1:27" outlineLevel="2">
      <c r="A130" s="807" t="s">
        <v>86</v>
      </c>
      <c r="B130" s="808" t="s">
        <v>528</v>
      </c>
      <c r="C130" s="808">
        <v>610</v>
      </c>
      <c r="D130" s="63">
        <v>1</v>
      </c>
      <c r="E130" s="68">
        <f t="shared" si="14"/>
        <v>0</v>
      </c>
      <c r="F130" s="567">
        <v>0</v>
      </c>
      <c r="G130" s="567">
        <v>0</v>
      </c>
      <c r="H130" s="567">
        <v>0</v>
      </c>
      <c r="I130" s="567">
        <v>0</v>
      </c>
      <c r="J130" s="567">
        <v>0</v>
      </c>
      <c r="K130" s="567">
        <v>0</v>
      </c>
      <c r="L130" s="567">
        <v>0</v>
      </c>
      <c r="M130" s="567">
        <v>0</v>
      </c>
      <c r="N130" s="567">
        <v>0</v>
      </c>
      <c r="O130" s="567">
        <v>0</v>
      </c>
      <c r="P130" s="567">
        <v>0</v>
      </c>
      <c r="Q130" s="567">
        <v>0</v>
      </c>
      <c r="R130" s="567">
        <v>0</v>
      </c>
      <c r="S130" s="567">
        <v>0</v>
      </c>
      <c r="T130" s="567">
        <v>0</v>
      </c>
      <c r="U130" s="567">
        <v>0</v>
      </c>
      <c r="V130" s="567">
        <v>0</v>
      </c>
      <c r="W130" s="567">
        <v>0</v>
      </c>
      <c r="X130" s="567">
        <v>0</v>
      </c>
      <c r="Y130" s="567">
        <v>0</v>
      </c>
      <c r="Z130" s="567">
        <v>0</v>
      </c>
    </row>
    <row r="131" spans="1:27" outlineLevel="2">
      <c r="A131" s="807"/>
      <c r="B131" s="808"/>
      <c r="C131" s="808"/>
      <c r="D131" s="64">
        <v>2</v>
      </c>
      <c r="E131" s="68">
        <f t="shared" si="14"/>
        <v>0</v>
      </c>
      <c r="F131" s="568">
        <v>0</v>
      </c>
      <c r="G131" s="568">
        <v>0</v>
      </c>
      <c r="H131" s="568">
        <v>0</v>
      </c>
      <c r="I131" s="568">
        <v>0</v>
      </c>
      <c r="J131" s="568">
        <v>0</v>
      </c>
      <c r="K131" s="568">
        <v>0</v>
      </c>
      <c r="L131" s="568">
        <v>0</v>
      </c>
      <c r="M131" s="568">
        <v>0</v>
      </c>
      <c r="N131" s="568">
        <v>0</v>
      </c>
      <c r="O131" s="568">
        <v>0</v>
      </c>
      <c r="P131" s="568">
        <v>0</v>
      </c>
      <c r="Q131" s="568">
        <v>0</v>
      </c>
      <c r="R131" s="568">
        <v>0</v>
      </c>
      <c r="S131" s="568">
        <v>0</v>
      </c>
      <c r="T131" s="568">
        <v>0</v>
      </c>
      <c r="U131" s="568">
        <v>0</v>
      </c>
      <c r="V131" s="568">
        <v>0</v>
      </c>
      <c r="W131" s="568">
        <v>0</v>
      </c>
      <c r="X131" s="568">
        <v>0</v>
      </c>
      <c r="Y131" s="568">
        <v>0</v>
      </c>
      <c r="Z131" s="568">
        <v>0</v>
      </c>
    </row>
    <row r="132" spans="1:27" outlineLevel="2">
      <c r="A132" s="807"/>
      <c r="B132" s="808"/>
      <c r="C132" s="808"/>
      <c r="D132" s="64">
        <v>3</v>
      </c>
      <c r="E132" s="68">
        <f t="shared" si="14"/>
        <v>0</v>
      </c>
      <c r="F132" s="568">
        <v>0</v>
      </c>
      <c r="G132" s="568">
        <v>0</v>
      </c>
      <c r="H132" s="568">
        <v>0</v>
      </c>
      <c r="I132" s="568">
        <v>0</v>
      </c>
      <c r="J132" s="568">
        <v>0</v>
      </c>
      <c r="K132" s="568">
        <v>0</v>
      </c>
      <c r="L132" s="568">
        <v>0</v>
      </c>
      <c r="M132" s="568">
        <v>0</v>
      </c>
      <c r="N132" s="568">
        <v>0</v>
      </c>
      <c r="O132" s="568">
        <v>0</v>
      </c>
      <c r="P132" s="568">
        <v>0</v>
      </c>
      <c r="Q132" s="568">
        <v>0</v>
      </c>
      <c r="R132" s="568">
        <v>0</v>
      </c>
      <c r="S132" s="568">
        <v>0</v>
      </c>
      <c r="T132" s="568">
        <v>0</v>
      </c>
      <c r="U132" s="568">
        <v>0</v>
      </c>
      <c r="V132" s="568">
        <v>0</v>
      </c>
      <c r="W132" s="568">
        <v>0</v>
      </c>
      <c r="X132" s="568">
        <v>0</v>
      </c>
      <c r="Y132" s="568">
        <v>0</v>
      </c>
      <c r="Z132" s="568">
        <v>0</v>
      </c>
    </row>
    <row r="133" spans="1:27" outlineLevel="2">
      <c r="A133" s="807"/>
      <c r="B133" s="808"/>
      <c r="C133" s="808"/>
      <c r="D133" s="64">
        <v>4</v>
      </c>
      <c r="E133" s="68">
        <f t="shared" si="14"/>
        <v>0</v>
      </c>
      <c r="F133" s="568">
        <v>0</v>
      </c>
      <c r="G133" s="568">
        <v>0</v>
      </c>
      <c r="H133" s="568">
        <v>0</v>
      </c>
      <c r="I133" s="568">
        <v>0</v>
      </c>
      <c r="J133" s="568">
        <v>0</v>
      </c>
      <c r="K133" s="568">
        <v>0</v>
      </c>
      <c r="L133" s="568">
        <v>0</v>
      </c>
      <c r="M133" s="568">
        <v>0</v>
      </c>
      <c r="N133" s="568">
        <v>0</v>
      </c>
      <c r="O133" s="568">
        <v>0</v>
      </c>
      <c r="P133" s="568">
        <v>0</v>
      </c>
      <c r="Q133" s="568">
        <v>0</v>
      </c>
      <c r="R133" s="568">
        <v>0</v>
      </c>
      <c r="S133" s="568">
        <v>0</v>
      </c>
      <c r="T133" s="568">
        <v>0</v>
      </c>
      <c r="U133" s="568">
        <v>0</v>
      </c>
      <c r="V133" s="568">
        <v>0</v>
      </c>
      <c r="W133" s="568">
        <v>0</v>
      </c>
      <c r="X133" s="568">
        <v>0</v>
      </c>
      <c r="Y133" s="568">
        <v>0</v>
      </c>
      <c r="Z133" s="568">
        <v>0</v>
      </c>
    </row>
    <row r="134" spans="1:27" outlineLevel="2">
      <c r="A134" s="807"/>
      <c r="B134" s="808"/>
      <c r="C134" s="808"/>
      <c r="D134" s="64">
        <v>5</v>
      </c>
      <c r="E134" s="68">
        <f t="shared" si="14"/>
        <v>0</v>
      </c>
      <c r="F134" s="568">
        <v>0</v>
      </c>
      <c r="G134" s="568">
        <v>0</v>
      </c>
      <c r="H134" s="568">
        <v>0</v>
      </c>
      <c r="I134" s="568">
        <v>0</v>
      </c>
      <c r="J134" s="568">
        <v>0</v>
      </c>
      <c r="K134" s="568">
        <v>0</v>
      </c>
      <c r="L134" s="568">
        <v>0</v>
      </c>
      <c r="M134" s="568">
        <v>0</v>
      </c>
      <c r="N134" s="568">
        <v>0</v>
      </c>
      <c r="O134" s="568">
        <v>0</v>
      </c>
      <c r="P134" s="568">
        <v>0</v>
      </c>
      <c r="Q134" s="568">
        <v>0</v>
      </c>
      <c r="R134" s="568">
        <v>0</v>
      </c>
      <c r="S134" s="568">
        <v>0</v>
      </c>
      <c r="T134" s="568">
        <v>0</v>
      </c>
      <c r="U134" s="568">
        <v>0</v>
      </c>
      <c r="V134" s="568">
        <v>0</v>
      </c>
      <c r="W134" s="568">
        <v>0</v>
      </c>
      <c r="X134" s="568">
        <v>0</v>
      </c>
      <c r="Y134" s="568">
        <v>0</v>
      </c>
      <c r="Z134" s="568">
        <v>0</v>
      </c>
    </row>
    <row r="135" spans="1:27" outlineLevel="2">
      <c r="A135" s="807"/>
      <c r="B135" s="808"/>
      <c r="C135" s="808"/>
      <c r="D135" s="64">
        <v>6</v>
      </c>
      <c r="E135" s="68">
        <f t="shared" si="14"/>
        <v>0</v>
      </c>
      <c r="F135" s="568">
        <v>0</v>
      </c>
      <c r="G135" s="568">
        <v>0</v>
      </c>
      <c r="H135" s="568">
        <v>0</v>
      </c>
      <c r="I135" s="568">
        <v>0</v>
      </c>
      <c r="J135" s="568">
        <v>0</v>
      </c>
      <c r="K135" s="568">
        <v>0</v>
      </c>
      <c r="L135" s="568">
        <v>0</v>
      </c>
      <c r="M135" s="568">
        <v>0</v>
      </c>
      <c r="N135" s="568">
        <v>0</v>
      </c>
      <c r="O135" s="568">
        <v>0</v>
      </c>
      <c r="P135" s="568">
        <v>0</v>
      </c>
      <c r="Q135" s="568">
        <v>0</v>
      </c>
      <c r="R135" s="568">
        <v>0</v>
      </c>
      <c r="S135" s="568">
        <v>0</v>
      </c>
      <c r="T135" s="568">
        <v>0</v>
      </c>
      <c r="U135" s="568">
        <v>0</v>
      </c>
      <c r="V135" s="568">
        <v>0</v>
      </c>
      <c r="W135" s="568">
        <v>0</v>
      </c>
      <c r="X135" s="568">
        <v>0</v>
      </c>
      <c r="Y135" s="568">
        <v>0</v>
      </c>
      <c r="Z135" s="568">
        <v>0</v>
      </c>
    </row>
    <row r="136" spans="1:27" outlineLevel="2">
      <c r="A136" s="807"/>
      <c r="B136" s="808"/>
      <c r="C136" s="808"/>
      <c r="D136" s="64">
        <v>7</v>
      </c>
      <c r="E136" s="68">
        <f t="shared" si="14"/>
        <v>0</v>
      </c>
      <c r="F136" s="568">
        <v>0</v>
      </c>
      <c r="G136" s="568">
        <v>0</v>
      </c>
      <c r="H136" s="568">
        <v>0</v>
      </c>
      <c r="I136" s="568">
        <v>0</v>
      </c>
      <c r="J136" s="568">
        <v>0</v>
      </c>
      <c r="K136" s="568">
        <v>0</v>
      </c>
      <c r="L136" s="568">
        <v>0</v>
      </c>
      <c r="M136" s="568">
        <v>0</v>
      </c>
      <c r="N136" s="568">
        <v>0</v>
      </c>
      <c r="O136" s="568">
        <v>0</v>
      </c>
      <c r="P136" s="568">
        <v>0</v>
      </c>
      <c r="Q136" s="568">
        <v>0</v>
      </c>
      <c r="R136" s="568">
        <v>0</v>
      </c>
      <c r="S136" s="568">
        <v>0</v>
      </c>
      <c r="T136" s="568">
        <v>0</v>
      </c>
      <c r="U136" s="568">
        <v>0</v>
      </c>
      <c r="V136" s="568">
        <v>0</v>
      </c>
      <c r="W136" s="568">
        <v>0</v>
      </c>
      <c r="X136" s="568">
        <v>0</v>
      </c>
      <c r="Y136" s="568">
        <v>0</v>
      </c>
      <c r="Z136" s="568">
        <v>0</v>
      </c>
    </row>
    <row r="137" spans="1:27" outlineLevel="2">
      <c r="A137" s="807"/>
      <c r="B137" s="808"/>
      <c r="C137" s="808"/>
      <c r="D137" s="64">
        <v>8</v>
      </c>
      <c r="E137" s="68">
        <f t="shared" si="14"/>
        <v>0</v>
      </c>
      <c r="F137" s="568">
        <v>0</v>
      </c>
      <c r="G137" s="568">
        <v>0</v>
      </c>
      <c r="H137" s="568">
        <v>0</v>
      </c>
      <c r="I137" s="568">
        <v>0</v>
      </c>
      <c r="J137" s="568">
        <v>0</v>
      </c>
      <c r="K137" s="568">
        <v>0</v>
      </c>
      <c r="L137" s="568">
        <v>0</v>
      </c>
      <c r="M137" s="568">
        <v>0</v>
      </c>
      <c r="N137" s="568">
        <v>0</v>
      </c>
      <c r="O137" s="568">
        <v>0</v>
      </c>
      <c r="P137" s="568">
        <v>0</v>
      </c>
      <c r="Q137" s="568">
        <v>0</v>
      </c>
      <c r="R137" s="568">
        <v>0</v>
      </c>
      <c r="S137" s="568">
        <v>0</v>
      </c>
      <c r="T137" s="568">
        <v>0</v>
      </c>
      <c r="U137" s="568">
        <v>0</v>
      </c>
      <c r="V137" s="568">
        <v>0</v>
      </c>
      <c r="W137" s="568">
        <v>0</v>
      </c>
      <c r="X137" s="568">
        <v>0</v>
      </c>
      <c r="Y137" s="568">
        <v>0</v>
      </c>
      <c r="Z137" s="568">
        <v>0</v>
      </c>
    </row>
    <row r="138" spans="1:27" outlineLevel="2">
      <c r="A138" s="807"/>
      <c r="B138" s="808"/>
      <c r="C138" s="808"/>
      <c r="D138" s="64">
        <v>9</v>
      </c>
      <c r="E138" s="68">
        <f t="shared" si="14"/>
        <v>0</v>
      </c>
      <c r="F138" s="568">
        <v>0</v>
      </c>
      <c r="G138" s="568">
        <v>0</v>
      </c>
      <c r="H138" s="568">
        <v>0</v>
      </c>
      <c r="I138" s="568">
        <v>0</v>
      </c>
      <c r="J138" s="568">
        <v>0</v>
      </c>
      <c r="K138" s="568">
        <v>0</v>
      </c>
      <c r="L138" s="568">
        <v>0</v>
      </c>
      <c r="M138" s="568">
        <v>0</v>
      </c>
      <c r="N138" s="568">
        <v>0</v>
      </c>
      <c r="O138" s="568">
        <v>0</v>
      </c>
      <c r="P138" s="568">
        <v>0</v>
      </c>
      <c r="Q138" s="568">
        <v>0</v>
      </c>
      <c r="R138" s="568">
        <v>0</v>
      </c>
      <c r="S138" s="568">
        <v>0</v>
      </c>
      <c r="T138" s="568">
        <v>0</v>
      </c>
      <c r="U138" s="568">
        <v>0</v>
      </c>
      <c r="V138" s="568">
        <v>0</v>
      </c>
      <c r="W138" s="568">
        <v>0</v>
      </c>
      <c r="X138" s="568">
        <v>0</v>
      </c>
      <c r="Y138" s="568">
        <v>0</v>
      </c>
      <c r="Z138" s="568">
        <v>0</v>
      </c>
    </row>
    <row r="139" spans="1:27" ht="15.75" outlineLevel="2" thickBot="1">
      <c r="A139" s="807"/>
      <c r="B139" s="808"/>
      <c r="C139" s="808"/>
      <c r="D139" s="65">
        <v>10</v>
      </c>
      <c r="E139" s="69">
        <f t="shared" si="14"/>
        <v>0</v>
      </c>
      <c r="F139" s="568">
        <v>0</v>
      </c>
      <c r="G139" s="568">
        <v>0</v>
      </c>
      <c r="H139" s="568">
        <v>0</v>
      </c>
      <c r="I139" s="568">
        <v>0</v>
      </c>
      <c r="J139" s="568">
        <v>0</v>
      </c>
      <c r="K139" s="568">
        <v>0</v>
      </c>
      <c r="L139" s="568">
        <v>0</v>
      </c>
      <c r="M139" s="568">
        <v>0</v>
      </c>
      <c r="N139" s="568">
        <v>0</v>
      </c>
      <c r="O139" s="568">
        <v>0</v>
      </c>
      <c r="P139" s="568">
        <v>0</v>
      </c>
      <c r="Q139" s="568">
        <v>0</v>
      </c>
      <c r="R139" s="568">
        <v>0</v>
      </c>
      <c r="S139" s="568">
        <v>0</v>
      </c>
      <c r="T139" s="568">
        <v>0</v>
      </c>
      <c r="U139" s="568">
        <v>0</v>
      </c>
      <c r="V139" s="568">
        <v>0</v>
      </c>
      <c r="W139" s="568">
        <v>0</v>
      </c>
      <c r="X139" s="568">
        <v>0</v>
      </c>
      <c r="Y139" s="568">
        <v>0</v>
      </c>
      <c r="Z139" s="568">
        <v>0</v>
      </c>
      <c r="AA139" s="364"/>
    </row>
    <row r="140" spans="1:27" outlineLevel="2">
      <c r="A140" s="807" t="s">
        <v>77</v>
      </c>
      <c r="B140" s="808" t="s">
        <v>78</v>
      </c>
      <c r="C140" s="808">
        <v>637040</v>
      </c>
      <c r="D140" s="63">
        <v>1</v>
      </c>
      <c r="E140" s="68">
        <f t="shared" si="14"/>
        <v>0</v>
      </c>
      <c r="F140" s="567">
        <v>0</v>
      </c>
      <c r="G140" s="567">
        <v>0</v>
      </c>
      <c r="H140" s="567">
        <v>0</v>
      </c>
      <c r="I140" s="567">
        <v>0</v>
      </c>
      <c r="J140" s="567">
        <v>0</v>
      </c>
      <c r="K140" s="567">
        <v>0</v>
      </c>
      <c r="L140" s="567">
        <v>0</v>
      </c>
      <c r="M140" s="567">
        <v>0</v>
      </c>
      <c r="N140" s="567">
        <v>0</v>
      </c>
      <c r="O140" s="567">
        <v>0</v>
      </c>
      <c r="P140" s="567">
        <v>0</v>
      </c>
      <c r="Q140" s="567">
        <v>0</v>
      </c>
      <c r="R140" s="567">
        <v>0</v>
      </c>
      <c r="S140" s="567">
        <v>0</v>
      </c>
      <c r="T140" s="567">
        <v>0</v>
      </c>
      <c r="U140" s="567">
        <v>0</v>
      </c>
      <c r="V140" s="567">
        <v>0</v>
      </c>
      <c r="W140" s="567">
        <v>0</v>
      </c>
      <c r="X140" s="567">
        <v>0</v>
      </c>
      <c r="Y140" s="567">
        <v>0</v>
      </c>
      <c r="Z140" s="567">
        <v>0</v>
      </c>
    </row>
    <row r="141" spans="1:27" outlineLevel="2">
      <c r="A141" s="807"/>
      <c r="B141" s="808"/>
      <c r="C141" s="808"/>
      <c r="D141" s="64">
        <v>2</v>
      </c>
      <c r="E141" s="68">
        <f t="shared" si="14"/>
        <v>0</v>
      </c>
      <c r="F141" s="568">
        <v>0</v>
      </c>
      <c r="G141" s="568">
        <v>0</v>
      </c>
      <c r="H141" s="568">
        <v>0</v>
      </c>
      <c r="I141" s="568">
        <v>0</v>
      </c>
      <c r="J141" s="568">
        <v>0</v>
      </c>
      <c r="K141" s="568">
        <v>0</v>
      </c>
      <c r="L141" s="568">
        <v>0</v>
      </c>
      <c r="M141" s="568">
        <v>0</v>
      </c>
      <c r="N141" s="568">
        <v>0</v>
      </c>
      <c r="O141" s="568">
        <v>0</v>
      </c>
      <c r="P141" s="568">
        <v>0</v>
      </c>
      <c r="Q141" s="568">
        <v>0</v>
      </c>
      <c r="R141" s="568">
        <v>0</v>
      </c>
      <c r="S141" s="568">
        <v>0</v>
      </c>
      <c r="T141" s="568">
        <v>0</v>
      </c>
      <c r="U141" s="568">
        <v>0</v>
      </c>
      <c r="V141" s="568">
        <v>0</v>
      </c>
      <c r="W141" s="568">
        <v>0</v>
      </c>
      <c r="X141" s="568">
        <v>0</v>
      </c>
      <c r="Y141" s="568">
        <v>0</v>
      </c>
      <c r="Z141" s="568">
        <v>0</v>
      </c>
    </row>
    <row r="142" spans="1:27" outlineLevel="2">
      <c r="A142" s="807"/>
      <c r="B142" s="808"/>
      <c r="C142" s="808"/>
      <c r="D142" s="64">
        <v>3</v>
      </c>
      <c r="E142" s="68">
        <f t="shared" si="14"/>
        <v>0</v>
      </c>
      <c r="F142" s="568">
        <v>0</v>
      </c>
      <c r="G142" s="568">
        <v>0</v>
      </c>
      <c r="H142" s="568">
        <v>0</v>
      </c>
      <c r="I142" s="568">
        <v>0</v>
      </c>
      <c r="J142" s="568">
        <v>0</v>
      </c>
      <c r="K142" s="568">
        <v>0</v>
      </c>
      <c r="L142" s="568">
        <v>0</v>
      </c>
      <c r="M142" s="568">
        <v>0</v>
      </c>
      <c r="N142" s="568">
        <v>0</v>
      </c>
      <c r="O142" s="568">
        <v>0</v>
      </c>
      <c r="P142" s="568">
        <v>0</v>
      </c>
      <c r="Q142" s="568">
        <v>0</v>
      </c>
      <c r="R142" s="568">
        <v>0</v>
      </c>
      <c r="S142" s="568">
        <v>0</v>
      </c>
      <c r="T142" s="568">
        <v>0</v>
      </c>
      <c r="U142" s="568">
        <v>0</v>
      </c>
      <c r="V142" s="568">
        <v>0</v>
      </c>
      <c r="W142" s="568">
        <v>0</v>
      </c>
      <c r="X142" s="568">
        <v>0</v>
      </c>
      <c r="Y142" s="568">
        <v>0</v>
      </c>
      <c r="Z142" s="568">
        <v>0</v>
      </c>
    </row>
    <row r="143" spans="1:27" outlineLevel="2">
      <c r="A143" s="807"/>
      <c r="B143" s="808"/>
      <c r="C143" s="808"/>
      <c r="D143" s="64">
        <v>4</v>
      </c>
      <c r="E143" s="68">
        <f t="shared" si="14"/>
        <v>0</v>
      </c>
      <c r="F143" s="568">
        <v>0</v>
      </c>
      <c r="G143" s="568">
        <v>0</v>
      </c>
      <c r="H143" s="568">
        <v>0</v>
      </c>
      <c r="I143" s="568">
        <v>0</v>
      </c>
      <c r="J143" s="568">
        <v>0</v>
      </c>
      <c r="K143" s="568">
        <v>0</v>
      </c>
      <c r="L143" s="568">
        <v>0</v>
      </c>
      <c r="M143" s="568">
        <v>0</v>
      </c>
      <c r="N143" s="568">
        <v>0</v>
      </c>
      <c r="O143" s="568">
        <v>0</v>
      </c>
      <c r="P143" s="568">
        <v>0</v>
      </c>
      <c r="Q143" s="568">
        <v>0</v>
      </c>
      <c r="R143" s="568">
        <v>0</v>
      </c>
      <c r="S143" s="568">
        <v>0</v>
      </c>
      <c r="T143" s="568">
        <v>0</v>
      </c>
      <c r="U143" s="568">
        <v>0</v>
      </c>
      <c r="V143" s="568">
        <v>0</v>
      </c>
      <c r="W143" s="568">
        <v>0</v>
      </c>
      <c r="X143" s="568">
        <v>0</v>
      </c>
      <c r="Y143" s="568">
        <v>0</v>
      </c>
      <c r="Z143" s="568">
        <v>0</v>
      </c>
    </row>
    <row r="144" spans="1:27" outlineLevel="2">
      <c r="A144" s="807"/>
      <c r="B144" s="808"/>
      <c r="C144" s="808"/>
      <c r="D144" s="64">
        <v>5</v>
      </c>
      <c r="E144" s="68">
        <f t="shared" si="14"/>
        <v>0</v>
      </c>
      <c r="F144" s="568">
        <v>0</v>
      </c>
      <c r="G144" s="568">
        <v>0</v>
      </c>
      <c r="H144" s="568">
        <v>0</v>
      </c>
      <c r="I144" s="568">
        <v>0</v>
      </c>
      <c r="J144" s="568">
        <v>0</v>
      </c>
      <c r="K144" s="568">
        <v>0</v>
      </c>
      <c r="L144" s="568">
        <v>0</v>
      </c>
      <c r="M144" s="568">
        <v>0</v>
      </c>
      <c r="N144" s="568">
        <v>0</v>
      </c>
      <c r="O144" s="568">
        <v>0</v>
      </c>
      <c r="P144" s="568">
        <v>0</v>
      </c>
      <c r="Q144" s="568">
        <v>0</v>
      </c>
      <c r="R144" s="568">
        <v>0</v>
      </c>
      <c r="S144" s="568">
        <v>0</v>
      </c>
      <c r="T144" s="568">
        <v>0</v>
      </c>
      <c r="U144" s="568">
        <v>0</v>
      </c>
      <c r="V144" s="568">
        <v>0</v>
      </c>
      <c r="W144" s="568">
        <v>0</v>
      </c>
      <c r="X144" s="568">
        <v>0</v>
      </c>
      <c r="Y144" s="568">
        <v>0</v>
      </c>
      <c r="Z144" s="568">
        <v>0</v>
      </c>
    </row>
    <row r="145" spans="1:26" outlineLevel="2">
      <c r="A145" s="807"/>
      <c r="B145" s="808"/>
      <c r="C145" s="808"/>
      <c r="D145" s="64">
        <v>6</v>
      </c>
      <c r="E145" s="68">
        <f t="shared" si="14"/>
        <v>0</v>
      </c>
      <c r="F145" s="568">
        <v>0</v>
      </c>
      <c r="G145" s="568">
        <v>0</v>
      </c>
      <c r="H145" s="568">
        <v>0</v>
      </c>
      <c r="I145" s="568">
        <v>0</v>
      </c>
      <c r="J145" s="568">
        <v>0</v>
      </c>
      <c r="K145" s="568">
        <v>0</v>
      </c>
      <c r="L145" s="568">
        <v>0</v>
      </c>
      <c r="M145" s="568">
        <v>0</v>
      </c>
      <c r="N145" s="568">
        <v>0</v>
      </c>
      <c r="O145" s="568">
        <v>0</v>
      </c>
      <c r="P145" s="568">
        <v>0</v>
      </c>
      <c r="Q145" s="568">
        <v>0</v>
      </c>
      <c r="R145" s="568">
        <v>0</v>
      </c>
      <c r="S145" s="568">
        <v>0</v>
      </c>
      <c r="T145" s="568">
        <v>0</v>
      </c>
      <c r="U145" s="568">
        <v>0</v>
      </c>
      <c r="V145" s="568">
        <v>0</v>
      </c>
      <c r="W145" s="568">
        <v>0</v>
      </c>
      <c r="X145" s="568">
        <v>0</v>
      </c>
      <c r="Y145" s="568">
        <v>0</v>
      </c>
      <c r="Z145" s="568">
        <v>0</v>
      </c>
    </row>
    <row r="146" spans="1:26" outlineLevel="2">
      <c r="A146" s="807"/>
      <c r="B146" s="808"/>
      <c r="C146" s="808"/>
      <c r="D146" s="64">
        <v>7</v>
      </c>
      <c r="E146" s="68">
        <f t="shared" si="14"/>
        <v>0</v>
      </c>
      <c r="F146" s="568">
        <v>0</v>
      </c>
      <c r="G146" s="568">
        <v>0</v>
      </c>
      <c r="H146" s="568">
        <v>0</v>
      </c>
      <c r="I146" s="568">
        <v>0</v>
      </c>
      <c r="J146" s="568">
        <v>0</v>
      </c>
      <c r="K146" s="568">
        <v>0</v>
      </c>
      <c r="L146" s="568">
        <v>0</v>
      </c>
      <c r="M146" s="568">
        <v>0</v>
      </c>
      <c r="N146" s="568">
        <v>0</v>
      </c>
      <c r="O146" s="568">
        <v>0</v>
      </c>
      <c r="P146" s="568">
        <v>0</v>
      </c>
      <c r="Q146" s="568">
        <v>0</v>
      </c>
      <c r="R146" s="568">
        <v>0</v>
      </c>
      <c r="S146" s="568">
        <v>0</v>
      </c>
      <c r="T146" s="568">
        <v>0</v>
      </c>
      <c r="U146" s="568">
        <v>0</v>
      </c>
      <c r="V146" s="568">
        <v>0</v>
      </c>
      <c r="W146" s="568">
        <v>0</v>
      </c>
      <c r="X146" s="568">
        <v>0</v>
      </c>
      <c r="Y146" s="568">
        <v>0</v>
      </c>
      <c r="Z146" s="568">
        <v>0</v>
      </c>
    </row>
    <row r="147" spans="1:26" outlineLevel="2">
      <c r="A147" s="807"/>
      <c r="B147" s="808"/>
      <c r="C147" s="808"/>
      <c r="D147" s="64">
        <v>8</v>
      </c>
      <c r="E147" s="68">
        <f t="shared" si="14"/>
        <v>0</v>
      </c>
      <c r="F147" s="568">
        <v>0</v>
      </c>
      <c r="G147" s="568">
        <v>0</v>
      </c>
      <c r="H147" s="568">
        <v>0</v>
      </c>
      <c r="I147" s="568">
        <v>0</v>
      </c>
      <c r="J147" s="568">
        <v>0</v>
      </c>
      <c r="K147" s="568">
        <v>0</v>
      </c>
      <c r="L147" s="568">
        <v>0</v>
      </c>
      <c r="M147" s="568">
        <v>0</v>
      </c>
      <c r="N147" s="568">
        <v>0</v>
      </c>
      <c r="O147" s="568">
        <v>0</v>
      </c>
      <c r="P147" s="568">
        <v>0</v>
      </c>
      <c r="Q147" s="568">
        <v>0</v>
      </c>
      <c r="R147" s="568">
        <v>0</v>
      </c>
      <c r="S147" s="568">
        <v>0</v>
      </c>
      <c r="T147" s="568">
        <v>0</v>
      </c>
      <c r="U147" s="568">
        <v>0</v>
      </c>
      <c r="V147" s="568">
        <v>0</v>
      </c>
      <c r="W147" s="568">
        <v>0</v>
      </c>
      <c r="X147" s="568">
        <v>0</v>
      </c>
      <c r="Y147" s="568">
        <v>0</v>
      </c>
      <c r="Z147" s="568">
        <v>0</v>
      </c>
    </row>
    <row r="148" spans="1:26" outlineLevel="2">
      <c r="A148" s="807"/>
      <c r="B148" s="808"/>
      <c r="C148" s="808"/>
      <c r="D148" s="64">
        <v>9</v>
      </c>
      <c r="E148" s="68">
        <f t="shared" si="14"/>
        <v>0</v>
      </c>
      <c r="F148" s="568">
        <v>0</v>
      </c>
      <c r="G148" s="568">
        <v>0</v>
      </c>
      <c r="H148" s="568">
        <v>0</v>
      </c>
      <c r="I148" s="568">
        <v>0</v>
      </c>
      <c r="J148" s="568">
        <v>0</v>
      </c>
      <c r="K148" s="568">
        <v>0</v>
      </c>
      <c r="L148" s="568">
        <v>0</v>
      </c>
      <c r="M148" s="568">
        <v>0</v>
      </c>
      <c r="N148" s="568">
        <v>0</v>
      </c>
      <c r="O148" s="568">
        <v>0</v>
      </c>
      <c r="P148" s="568">
        <v>0</v>
      </c>
      <c r="Q148" s="568">
        <v>0</v>
      </c>
      <c r="R148" s="568">
        <v>0</v>
      </c>
      <c r="S148" s="568">
        <v>0</v>
      </c>
      <c r="T148" s="568">
        <v>0</v>
      </c>
      <c r="U148" s="568">
        <v>0</v>
      </c>
      <c r="V148" s="568">
        <v>0</v>
      </c>
      <c r="W148" s="568">
        <v>0</v>
      </c>
      <c r="X148" s="568">
        <v>0</v>
      </c>
      <c r="Y148" s="568">
        <v>0</v>
      </c>
      <c r="Z148" s="568">
        <v>0</v>
      </c>
    </row>
    <row r="149" spans="1:26" ht="15.75" outlineLevel="2" thickBot="1">
      <c r="A149" s="807"/>
      <c r="B149" s="808"/>
      <c r="C149" s="808"/>
      <c r="D149" s="65">
        <v>10</v>
      </c>
      <c r="E149" s="69">
        <f t="shared" si="14"/>
        <v>0</v>
      </c>
      <c r="F149" s="572">
        <v>0</v>
      </c>
      <c r="G149" s="572">
        <v>0</v>
      </c>
      <c r="H149" s="572">
        <v>0</v>
      </c>
      <c r="I149" s="572">
        <v>0</v>
      </c>
      <c r="J149" s="572">
        <v>0</v>
      </c>
      <c r="K149" s="572">
        <v>0</v>
      </c>
      <c r="L149" s="572">
        <v>0</v>
      </c>
      <c r="M149" s="572">
        <v>0</v>
      </c>
      <c r="N149" s="572">
        <v>0</v>
      </c>
      <c r="O149" s="572">
        <v>0</v>
      </c>
      <c r="P149" s="572">
        <v>0</v>
      </c>
      <c r="Q149" s="572">
        <v>0</v>
      </c>
      <c r="R149" s="572">
        <v>0</v>
      </c>
      <c r="S149" s="572">
        <v>0</v>
      </c>
      <c r="T149" s="572">
        <v>0</v>
      </c>
      <c r="U149" s="572">
        <v>0</v>
      </c>
      <c r="V149" s="572">
        <v>0</v>
      </c>
      <c r="W149" s="572">
        <v>0</v>
      </c>
      <c r="X149" s="572">
        <v>0</v>
      </c>
      <c r="Y149" s="572">
        <v>0</v>
      </c>
      <c r="Z149" s="572">
        <v>0</v>
      </c>
    </row>
    <row r="150" spans="1:26" ht="15.75" thickBot="1">
      <c r="A150" s="17" t="s">
        <v>235</v>
      </c>
      <c r="B150" s="17"/>
      <c r="C150" s="17"/>
      <c r="D150" s="27"/>
      <c r="E150" s="110">
        <f t="shared" ref="E150:Z150" si="15">SUM(E151:E170)</f>
        <v>780213.14630000014</v>
      </c>
      <c r="F150" s="111">
        <f t="shared" si="15"/>
        <v>381878.18191148737</v>
      </c>
      <c r="G150" s="111">
        <f t="shared" si="15"/>
        <v>15990.072249335617</v>
      </c>
      <c r="H150" s="111">
        <f t="shared" si="15"/>
        <v>21981.289193390483</v>
      </c>
      <c r="I150" s="111">
        <f t="shared" si="15"/>
        <v>28417.799288692666</v>
      </c>
      <c r="J150" s="111">
        <f t="shared" si="15"/>
        <v>7489.021180068582</v>
      </c>
      <c r="K150" s="111">
        <f t="shared" si="15"/>
        <v>16435.365400582941</v>
      </c>
      <c r="L150" s="111">
        <f t="shared" si="15"/>
        <v>34409.016232747526</v>
      </c>
      <c r="M150" s="111">
        <f t="shared" si="15"/>
        <v>40359.751981234469</v>
      </c>
      <c r="N150" s="111">
        <f t="shared" si="15"/>
        <v>17933.169636596656</v>
      </c>
      <c r="O150" s="111">
        <f t="shared" si="15"/>
        <v>26919.995052678954</v>
      </c>
      <c r="P150" s="111">
        <f t="shared" si="15"/>
        <v>20928.778108624087</v>
      </c>
      <c r="Q150" s="111">
        <f t="shared" si="15"/>
        <v>14937.561164569226</v>
      </c>
      <c r="R150" s="111">
        <f t="shared" si="15"/>
        <v>14937.561164569226</v>
      </c>
      <c r="S150" s="111">
        <f t="shared" si="15"/>
        <v>22426.582344637805</v>
      </c>
      <c r="T150" s="111">
        <f t="shared" si="15"/>
        <v>25422.190816665243</v>
      </c>
      <c r="U150" s="111">
        <f t="shared" si="15"/>
        <v>23924.386580651517</v>
      </c>
      <c r="V150" s="111">
        <f t="shared" si="15"/>
        <v>11982.43388810973</v>
      </c>
      <c r="W150" s="111">
        <f t="shared" si="15"/>
        <v>20928.778108624087</v>
      </c>
      <c r="X150" s="111">
        <f t="shared" si="15"/>
        <v>23924.386580651517</v>
      </c>
      <c r="Y150" s="111">
        <f t="shared" si="15"/>
        <v>8986.825416082298</v>
      </c>
      <c r="Z150" s="111">
        <f t="shared" si="15"/>
        <v>0</v>
      </c>
    </row>
    <row r="151" spans="1:26">
      <c r="A151" s="807" t="s">
        <v>236</v>
      </c>
      <c r="B151" s="808"/>
      <c r="C151" s="808"/>
      <c r="D151" s="63">
        <v>1</v>
      </c>
      <c r="E151" s="67">
        <f t="shared" ref="E151:E170" si="16">SUM(F151:Z151)</f>
        <v>45024</v>
      </c>
      <c r="F151" s="564">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HW'!$E$4)*SUM(POZICIE_INTERNE!$I$40:$I$51))/POZICIE_INTERNE!$B$40)),0)+IFERROR(IF((EXTERNE_POZICIE!$B$41-12*('TCO TO BE- SW'!$D151-1))&gt;12,((F$4+'TCO TO BE - HW'!F$4)/($E$4+'TCO TO BE - HW'!$E$4)*SUM(EXTERNE_POZICIE!$M$41:$M$52)*1.23)/EXTERNE_POZICIE!$B$41*12,IF((EXTERNE_POZICIE!$B$41-12*('TCO TO BE- SW'!$D151-1))&lt;0,0,(EXTERNE_POZICIE!$B$41-12*('TCO TO BE- SW'!$D151-1))*((F$4+'TCO TO BE - HW'!F$4)/($E$4+'TCO TO BE - HW'!$E$4)*SUM(EXTERNE_POZICIE!$M$41:$M$52)*1.23)/EXTERNE_POZICIE!$B$41)),0)+IFERROR(SUM(#REF!)*'TCO TO BE- SW'!F$4/'TCO TO BE- SW'!$E$4,0)</f>
        <v>22037.161696031788</v>
      </c>
      <c r="G151" s="564">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HW'!$E$4)*SUM(POZICIE_INTERNE!$I$40:$I$51))/POZICIE_INTERNE!$B$40)),0)+IFERROR(IF((EXTERNE_POZICIE!$B$41-12*('TCO TO BE- SW'!$D151-1))&gt;12,((G$4+'TCO TO BE - HW'!G$4)/($E$4+'TCO TO BE - HW'!$E$4)*SUM(EXTERNE_POZICIE!$M$41:$M$52)*1.23)/EXTERNE_POZICIE!$B$41*12,IF((EXTERNE_POZICIE!$B$41-12*('TCO TO BE- SW'!$D151-1))&lt;0,0,(EXTERNE_POZICIE!$B$41-12*('TCO TO BE- SW'!$D151-1))*((G$4+'TCO TO BE - HW'!G$4)/($E$4+'TCO TO BE - HW'!$E$4)*SUM(EXTERNE_POZICIE!$M$41:$M$52)*1.23)/EXTERNE_POZICIE!$B$41)),0)+IFERROR(SUM(#REF!)*'TCO TO BE- SW'!G$4/'TCO TO BE- SW'!$E$4,0)</f>
        <v>922.74401728327666</v>
      </c>
      <c r="H151" s="564">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HW'!$E$4)*SUM(POZICIE_INTERNE!$I$40:$I$51))/POZICIE_INTERNE!$B$40)),0)+IFERROR(IF((EXTERNE_POZICIE!$B$41-12*('TCO TO BE- SW'!$D151-1))&gt;12,((H$4+'TCO TO BE - HW'!H$4)/($E$4+'TCO TO BE - HW'!$E$4)*SUM(EXTERNE_POZICIE!$M$41:$M$52)*1.23)/EXTERNE_POZICIE!$B$41*12,IF((EXTERNE_POZICIE!$B$41-12*('TCO TO BE- SW'!$D151-1))&lt;0,0,(EXTERNE_POZICIE!$B$41-12*('TCO TO BE- SW'!$D151-1))*((H$4+'TCO TO BE - HW'!H$4)/($E$4+'TCO TO BE - HW'!$E$4)*SUM(EXTERNE_POZICIE!$M$41:$M$52)*1.23)/EXTERNE_POZICIE!$B$41)),0)+IFERROR(SUM(#REF!)*'TCO TO BE- SW'!H$4/'TCO TO BE- SW'!$E$4,0)</f>
        <v>1268.4810161640994</v>
      </c>
      <c r="I151" s="564">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HW'!$E$4)*SUM(POZICIE_INTERNE!$I$40:$I$51))/POZICIE_INTERNE!$B$40)),0)+IFERROR(IF((EXTERNE_POZICIE!$B$41-12*('TCO TO BE- SW'!$D151-1))&gt;12,((I$4+'TCO TO BE - HW'!I$4)/($E$4+'TCO TO BE - HW'!$E$4)*SUM(EXTERNE_POZICIE!$M$41:$M$52)*1.23)/EXTERNE_POZICIE!$B$41*12,IF((EXTERNE_POZICIE!$B$41-12*('TCO TO BE- SW'!$D151-1))&lt;0,0,(EXTERNE_POZICIE!$B$41-12*('TCO TO BE- SW'!$D151-1))*((I$4+'TCO TO BE - HW'!I$4)/($E$4+'TCO TO BE - HW'!$E$4)*SUM(EXTERNE_POZICIE!$M$41:$M$52)*1.23)/EXTERNE_POZICIE!$B$41)),0)+IFERROR(SUM(#REF!)*'TCO TO BE- SW'!I$4/'TCO TO BE- SW'!$E$4,0)</f>
        <v>1639.9146838806589</v>
      </c>
      <c r="J151" s="564">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HW'!$E$4)*SUM(POZICIE_INTERNE!$I$40:$I$51))/POZICIE_INTERNE!$B$40)),0)+IFERROR(IF((EXTERNE_POZICIE!$B$41-12*('TCO TO BE- SW'!$D151-1))&gt;12,((J$4+'TCO TO BE - HW'!J$4)/($E$4+'TCO TO BE - HW'!$E$4)*SUM(EXTERNE_POZICIE!$M$41:$M$52)*1.23)/EXTERNE_POZICIE!$B$41*12,IF((EXTERNE_POZICIE!$B$41-12*('TCO TO BE- SW'!$D151-1))&lt;0,0,(EXTERNE_POZICIE!$B$41-12*('TCO TO BE- SW'!$D151-1))*((J$4+'TCO TO BE - HW'!J$4)/($E$4+'TCO TO BE - HW'!$E$4)*SUM(EXTERNE_POZICIE!$M$41:$M$52)*1.23)/EXTERNE_POZICIE!$B$41)),0)+IFERROR(SUM(#REF!)*'TCO TO BE- SW'!J$4/'TCO TO BE- SW'!$E$4,0)</f>
        <v>432.17124860102837</v>
      </c>
      <c r="K151" s="564">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HW'!$E$4)*SUM(POZICIE_INTERNE!$I$40:$I$51))/POZICIE_INTERNE!$B$40)),0)+IFERROR(IF((EXTERNE_POZICIE!$B$41-12*('TCO TO BE- SW'!$D151-1))&gt;12,((K$4+'TCO TO BE - HW'!K$4)/($E$4+'TCO TO BE - HW'!$E$4)*SUM(EXTERNE_POZICIE!$M$41:$M$52)*1.23)/EXTERNE_POZICIE!$B$41*12,IF((EXTERNE_POZICIE!$B$41-12*('TCO TO BE- SW'!$D151-1))&lt;0,0,(EXTERNE_POZICIE!$B$41-12*('TCO TO BE- SW'!$D151-1))*((K$4+'TCO TO BE - HW'!K$4)/($E$4+'TCO TO BE - HW'!$E$4)*SUM(EXTERNE_POZICIE!$M$41:$M$52)*1.23)/EXTERNE_POZICIE!$B$41)),0)+IFERROR(SUM(#REF!)*'TCO TO BE- SW'!K$4/'TCO TO BE- SW'!$E$4,0)</f>
        <v>948.44068611901366</v>
      </c>
      <c r="L151" s="564">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HW'!$E$4)*SUM(POZICIE_INTERNE!$I$40:$I$51))/POZICIE_INTERNE!$B$40)),0)+IFERROR(IF((EXTERNE_POZICIE!$B$41-12*('TCO TO BE- SW'!$D151-1))&gt;12,((L$4+'TCO TO BE - HW'!L$4)/($E$4+'TCO TO BE - HW'!$E$4)*SUM(EXTERNE_POZICIE!$M$41:$M$52)*1.23)/EXTERNE_POZICIE!$B$41*12,IF((EXTERNE_POZICIE!$B$41-12*('TCO TO BE- SW'!$D151-1))&lt;0,0,(EXTERNE_POZICIE!$B$41-12*('TCO TO BE- SW'!$D151-1))*((L$4+'TCO TO BE - HW'!L$4)/($E$4+'TCO TO BE - HW'!$E$4)*SUM(EXTERNE_POZICIE!$M$41:$M$52)*1.23)/EXTERNE_POZICIE!$B$41)),0)+IFERROR(SUM(#REF!)*'TCO TO BE- SW'!L$4/'TCO TO BE- SW'!$E$4,0)</f>
        <v>1985.6516827614812</v>
      </c>
      <c r="M151" s="564">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HW'!$E$4)*SUM(POZICIE_INTERNE!$I$40:$I$51))/POZICIE_INTERNE!$B$40)),0)+IFERROR(IF((EXTERNE_POZICIE!$B$41-12*('TCO TO BE- SW'!$D151-1))&gt;12,((M$4+'TCO TO BE - HW'!M$4)/($E$4+'TCO TO BE - HW'!$E$4)*SUM(EXTERNE_POZICIE!$M$41:$M$52)*1.23)/EXTERNE_POZICIE!$B$41*12,IF((EXTERNE_POZICIE!$B$41-12*('TCO TO BE- SW'!$D151-1))&lt;0,0,(EXTERNE_POZICIE!$B$41-12*('TCO TO BE- SW'!$D151-1))*((M$4+'TCO TO BE - HW'!M$4)/($E$4+'TCO TO BE - HW'!$E$4)*SUM(EXTERNE_POZICIE!$M$41:$M$52)*1.23)/EXTERNE_POZICIE!$B$41)),0)+IFERROR(SUM(#REF!)*'TCO TO BE- SW'!M$4/'TCO TO BE- SW'!$E$4,0)</f>
        <v>2329.0526208390556</v>
      </c>
      <c r="N151" s="564">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HW'!$E$4)*SUM(POZICIE_INTERNE!$I$40:$I$51))/POZICIE_INTERNE!$B$40)),0)+IFERROR(IF((EXTERNE_POZICIE!$B$41-12*('TCO TO BE- SW'!$D151-1))&gt;12,((N$4+'TCO TO BE - HW'!N$4)/($E$4+'TCO TO BE - HW'!$E$4)*SUM(EXTERNE_POZICIE!$M$41:$M$52)*1.23)/EXTERNE_POZICIE!$B$41*12,IF((EXTERNE_POZICIE!$B$41-12*('TCO TO BE- SW'!$D151-1))&lt;0,0,(EXTERNE_POZICIE!$B$41-12*('TCO TO BE- SW'!$D151-1))*((N$4+'TCO TO BE - HW'!N$4)/($E$4+'TCO TO BE - HW'!$E$4)*SUM(EXTERNE_POZICIE!$M$41:$M$52)*1.23)/EXTERNE_POZICIE!$B$41)),0)+IFERROR(SUM(#REF!)*'TCO TO BE- SW'!N$4/'TCO TO BE- SW'!$E$4,0)</f>
        <v>1034.874935839219</v>
      </c>
      <c r="O151" s="564">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HW'!$E$4)*SUM(POZICIE_INTERNE!$I$40:$I$51))/POZICIE_INTERNE!$B$40)),0)+IFERROR(IF((EXTERNE_POZICIE!$B$41-12*('TCO TO BE- SW'!$D151-1))&gt;12,((O$4+'TCO TO BE - HW'!O$4)/($E$4+'TCO TO BE - HW'!$E$4)*SUM(EXTERNE_POZICIE!$M$41:$M$52)*1.23)/EXTERNE_POZICIE!$B$41*12,IF((EXTERNE_POZICIE!$B$41-12*('TCO TO BE- SW'!$D151-1))&lt;0,0,(EXTERNE_POZICIE!$B$41-12*('TCO TO BE- SW'!$D151-1))*((O$4+'TCO TO BE - HW'!O$4)/($E$4+'TCO TO BE - HW'!$E$4)*SUM(EXTERNE_POZICIE!$M$41:$M$52)*1.23)/EXTERNE_POZICIE!$B$41)),0)+IFERROR(SUM(#REF!)*'TCO TO BE- SW'!O$4/'TCO TO BE- SW'!$E$4,0)</f>
        <v>1553.4804341604533</v>
      </c>
      <c r="P151" s="564">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HW'!$E$4)*SUM(POZICIE_INTERNE!$I$40:$I$51))/POZICIE_INTERNE!$B$40)),0)+IFERROR(IF((EXTERNE_POZICIE!$B$41-12*('TCO TO BE- SW'!$D151-1))&gt;12,((P$4+'TCO TO BE - HW'!P$4)/($E$4+'TCO TO BE - HW'!$E$4)*SUM(EXTERNE_POZICIE!$M$41:$M$52)*1.23)/EXTERNE_POZICIE!$B$41*12,IF((EXTERNE_POZICIE!$B$41-12*('TCO TO BE- SW'!$D151-1))&lt;0,0,(EXTERNE_POZICIE!$B$41-12*('TCO TO BE- SW'!$D151-1))*((P$4+'TCO TO BE - HW'!P$4)/($E$4+'TCO TO BE - HW'!$E$4)*SUM(EXTERNE_POZICIE!$M$41:$M$52)*1.23)/EXTERNE_POZICIE!$B$41)),0)+IFERROR(SUM(#REF!)*'TCO TO BE- SW'!P$4/'TCO TO BE- SW'!$E$4,0)</f>
        <v>1207.7434352796306</v>
      </c>
      <c r="Q151" s="564">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HW'!$E$4)*SUM(POZICIE_INTERNE!$I$40:$I$51))/POZICIE_INTERNE!$B$40)),0)+IFERROR(IF((EXTERNE_POZICIE!$B$41-12*('TCO TO BE- SW'!$D151-1))&gt;12,((Q$4+'TCO TO BE - HW'!Q$4)/($E$4+'TCO TO BE - HW'!$E$4)*SUM(EXTERNE_POZICIE!$M$41:$M$52)*1.23)/EXTERNE_POZICIE!$B$41*12,IF((EXTERNE_POZICIE!$B$41-12*('TCO TO BE- SW'!$D151-1))&lt;0,0,(EXTERNE_POZICIE!$B$41-12*('TCO TO BE- SW'!$D151-1))*((Q$4+'TCO TO BE - HW'!Q$4)/($E$4+'TCO TO BE - HW'!$E$4)*SUM(EXTERNE_POZICIE!$M$41:$M$52)*1.23)/EXTERNE_POZICIE!$B$41)),0)+IFERROR(SUM(#REF!)*'TCO TO BE- SW'!Q$4/'TCO TO BE- SW'!$E$4,0)</f>
        <v>862.00643639880786</v>
      </c>
      <c r="R151" s="564">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HW'!$E$4)*SUM(POZICIE_INTERNE!$I$40:$I$51))/POZICIE_INTERNE!$B$40)),0)+IFERROR(IF((EXTERNE_POZICIE!$B$41-12*('TCO TO BE- SW'!$D151-1))&gt;12,((R$4+'TCO TO BE - HW'!R$4)/($E$4+'TCO TO BE - HW'!$E$4)*SUM(EXTERNE_POZICIE!$M$41:$M$52)*1.23)/EXTERNE_POZICIE!$B$41*12,IF((EXTERNE_POZICIE!$B$41-12*('TCO TO BE- SW'!$D151-1))&lt;0,0,(EXTERNE_POZICIE!$B$41-12*('TCO TO BE- SW'!$D151-1))*((R$4+'TCO TO BE - HW'!R$4)/($E$4+'TCO TO BE - HW'!$E$4)*SUM(EXTERNE_POZICIE!$M$41:$M$52)*1.23)/EXTERNE_POZICIE!$B$41)),0)+IFERROR(SUM(#REF!)*'TCO TO BE- SW'!R$4/'TCO TO BE- SW'!$E$4,0)</f>
        <v>862.00643639880786</v>
      </c>
      <c r="S151" s="564">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HW'!$E$4)*SUM(POZICIE_INTERNE!$I$40:$I$51))/POZICIE_INTERNE!$B$40)),0)+IFERROR(IF((EXTERNE_POZICIE!$B$41-12*('TCO TO BE- SW'!$D151-1))&gt;12,((S$4+'TCO TO BE - HW'!S$4)/($E$4+'TCO TO BE - HW'!$E$4)*SUM(EXTERNE_POZICIE!$M$41:$M$52)*1.23)/EXTERNE_POZICIE!$B$41*12,IF((EXTERNE_POZICIE!$B$41-12*('TCO TO BE- SW'!$D151-1))&lt;0,0,(EXTERNE_POZICIE!$B$41-12*('TCO TO BE- SW'!$D151-1))*((S$4+'TCO TO BE - HW'!S$4)/($E$4+'TCO TO BE - HW'!$E$4)*SUM(EXTERNE_POZICIE!$M$41:$M$52)*1.23)/EXTERNE_POZICIE!$B$41)),0)+IFERROR(SUM(#REF!)*'TCO TO BE- SW'!S$4/'TCO TO BE- SW'!$E$4,0)</f>
        <v>1294.1776849998362</v>
      </c>
      <c r="T151" s="564">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HW'!$E$4)*SUM(POZICIE_INTERNE!$I$40:$I$51))/POZICIE_INTERNE!$B$40)),0)+IFERROR(IF((EXTERNE_POZICIE!$B$41-12*('TCO TO BE- SW'!$D151-1))&gt;12,((T$4+'TCO TO BE - HW'!T$4)/($E$4+'TCO TO BE - HW'!$E$4)*SUM(EXTERNE_POZICIE!$M$41:$M$52)*1.23)/EXTERNE_POZICIE!$B$41*12,IF((EXTERNE_POZICIE!$B$41-12*('TCO TO BE- SW'!$D151-1))&lt;0,0,(EXTERNE_POZICIE!$B$41-12*('TCO TO BE- SW'!$D151-1))*((T$4+'TCO TO BE - HW'!T$4)/($E$4+'TCO TO BE - HW'!$E$4)*SUM(EXTERNE_POZICIE!$M$41:$M$52)*1.23)/EXTERNE_POZICIE!$B$41)),0)+IFERROR(SUM(#REF!)*'TCO TO BE- SW'!T$4/'TCO TO BE- SW'!$E$4,0)</f>
        <v>1467.0461844402478</v>
      </c>
      <c r="U151" s="564">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HW'!$E$4)*SUM(POZICIE_INTERNE!$I$40:$I$51))/POZICIE_INTERNE!$B$40)),0)+IFERROR(IF((EXTERNE_POZICIE!$B$41-12*('TCO TO BE- SW'!$D151-1))&gt;12,((U$4+'TCO TO BE - HW'!U$4)/($E$4+'TCO TO BE - HW'!$E$4)*SUM(EXTERNE_POZICIE!$M$41:$M$52)*1.23)/EXTERNE_POZICIE!$B$41*12,IF((EXTERNE_POZICIE!$B$41-12*('TCO TO BE- SW'!$D151-1))&lt;0,0,(EXTERNE_POZICIE!$B$41-12*('TCO TO BE- SW'!$D151-1))*((U$4+'TCO TO BE - HW'!U$4)/($E$4+'TCO TO BE - HW'!$E$4)*SUM(EXTERNE_POZICIE!$M$41:$M$52)*1.23)/EXTERNE_POZICIE!$B$41)),0)+IFERROR(SUM(#REF!)*'TCO TO BE- SW'!U$4/'TCO TO BE- SW'!$E$4,0)</f>
        <v>1380.6119347200417</v>
      </c>
      <c r="V151" s="564">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HW'!$E$4)*SUM(POZICIE_INTERNE!$I$40:$I$51))/POZICIE_INTERNE!$B$40)),0)+IFERROR(IF((EXTERNE_POZICIE!$B$41-12*('TCO TO BE- SW'!$D151-1))&gt;12,((V$4+'TCO TO BE - HW'!V$4)/($E$4+'TCO TO BE - HW'!$E$4)*SUM(EXTERNE_POZICIE!$M$41:$M$52)*1.23)/EXTERNE_POZICIE!$B$41*12,IF((EXTERNE_POZICIE!$B$41-12*('TCO TO BE- SW'!$D151-1))&lt;0,0,(EXTERNE_POZICIE!$B$41-12*('TCO TO BE- SW'!$D151-1))*((V$4+'TCO TO BE - HW'!V$4)/($E$4+'TCO TO BE - HW'!$E$4)*SUM(EXTERNE_POZICIE!$M$41:$M$52)*1.23)/EXTERNE_POZICIE!$B$41)),0)+IFERROR(SUM(#REF!)*'TCO TO BE- SW'!V$4/'TCO TO BE- SW'!$E$4,0)</f>
        <v>691.47399776164536</v>
      </c>
      <c r="W151" s="564">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HW'!$E$4)*SUM(POZICIE_INTERNE!$I$40:$I$51))/POZICIE_INTERNE!$B$40)),0)+IFERROR(IF((EXTERNE_POZICIE!$B$41-12*('TCO TO BE- SW'!$D151-1))&gt;12,((W$4+'TCO TO BE - HW'!W$4)/($E$4+'TCO TO BE - HW'!$E$4)*SUM(EXTERNE_POZICIE!$M$41:$M$52)*1.23)/EXTERNE_POZICIE!$B$41*12,IF((EXTERNE_POZICIE!$B$41-12*('TCO TO BE- SW'!$D151-1))&lt;0,0,(EXTERNE_POZICIE!$B$41-12*('TCO TO BE- SW'!$D151-1))*((W$4+'TCO TO BE - HW'!W$4)/($E$4+'TCO TO BE - HW'!$E$4)*SUM(EXTERNE_POZICIE!$M$41:$M$52)*1.23)/EXTERNE_POZICIE!$B$41)),0)+IFERROR(SUM(#REF!)*'TCO TO BE- SW'!W$4/'TCO TO BE- SW'!$E$4,0)</f>
        <v>1207.7434352796306</v>
      </c>
      <c r="X151" s="564">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HW'!$E$4)*SUM(POZICIE_INTERNE!$I$40:$I$51))/POZICIE_INTERNE!$B$40)),0)+IFERROR(IF((EXTERNE_POZICIE!$B$41-12*('TCO TO BE- SW'!$D151-1))&gt;12,((X$4+'TCO TO BE - HW'!X$4)/($E$4+'TCO TO BE - HW'!$E$4)*SUM(EXTERNE_POZICIE!$M$41:$M$52)*1.23)/EXTERNE_POZICIE!$B$41*12,IF((EXTERNE_POZICIE!$B$41-12*('TCO TO BE- SW'!$D151-1))&lt;0,0,(EXTERNE_POZICIE!$B$41-12*('TCO TO BE- SW'!$D151-1))*((X$4+'TCO TO BE - HW'!X$4)/($E$4+'TCO TO BE - HW'!$E$4)*SUM(EXTERNE_POZICIE!$M$41:$M$52)*1.23)/EXTERNE_POZICIE!$B$41)),0)+IFERROR(SUM(#REF!)*'TCO TO BE- SW'!X$4/'TCO TO BE- SW'!$E$4,0)</f>
        <v>1380.6119347200417</v>
      </c>
      <c r="Y151" s="564">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HW'!$E$4)*SUM(POZICIE_INTERNE!$I$40:$I$51))/POZICIE_INTERNE!$B$40)),0)+IFERROR(IF((EXTERNE_POZICIE!$B$41-12*('TCO TO BE- SW'!$D151-1))&gt;12,((Y$4+'TCO TO BE - HW'!Y$4)/($E$4+'TCO TO BE - HW'!$E$4)*SUM(EXTERNE_POZICIE!$M$41:$M$52)*1.23)/EXTERNE_POZICIE!$B$41*12,IF((EXTERNE_POZICIE!$B$41-12*('TCO TO BE- SW'!$D151-1))&lt;0,0,(EXTERNE_POZICIE!$B$41-12*('TCO TO BE- SW'!$D151-1))*((Y$4+'TCO TO BE - HW'!Y$4)/($E$4+'TCO TO BE - HW'!$E$4)*SUM(EXTERNE_POZICIE!$M$41:$M$52)*1.23)/EXTERNE_POZICIE!$B$41)),0)+IFERROR(SUM(#REF!)*'TCO TO BE- SW'!Y$4/'TCO TO BE- SW'!$E$4,0)</f>
        <v>518.60549832123388</v>
      </c>
      <c r="Z151" s="564">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HW'!$E$4)*SUM(POZICIE_INTERNE!$I$40:$I$51))/POZICIE_INTERNE!$B$40)),0)+IFERROR(IF((EXTERNE_POZICIE!$B$41-12*('TCO TO BE- SW'!$D151-1))&gt;12,((Z$4+'TCO TO BE - HW'!Z$4)/($E$4+'TCO TO BE - HW'!$E$4)*SUM(EXTERNE_POZICIE!$M$41:$M$52)*1.23)/EXTERNE_POZICIE!$B$41*12,IF((EXTERNE_POZICIE!$B$41-12*('TCO TO BE- SW'!$D151-1))&lt;0,0,(EXTERNE_POZICIE!$B$41-12*('TCO TO BE- SW'!$D151-1))*((Z$4+'TCO TO BE - HW'!Z$4)/($E$4+'TCO TO BE - HW'!$E$4)*SUM(EXTERNE_POZICIE!$M$41:$M$52)*1.23)/EXTERNE_POZICIE!$B$41)),0)+IFERROR(SUM(#REF!)*'TCO TO BE- SW'!Z$4/'TCO TO BE- SW'!$E$4,0)</f>
        <v>0</v>
      </c>
    </row>
    <row r="152" spans="1:26">
      <c r="A152" s="807"/>
      <c r="B152" s="808"/>
      <c r="C152" s="808"/>
      <c r="D152" s="64">
        <v>2</v>
      </c>
      <c r="E152" s="68">
        <f t="shared" si="16"/>
        <v>45024</v>
      </c>
      <c r="F152" s="565">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HW'!$E$4)*SUM(POZICIE_INTERNE!$I$40:$I$51))/POZICIE_INTERNE!$B$40)),0)+IFERROR(IF((EXTERNE_POZICIE!$B$41-12*('TCO TO BE- SW'!$D152-1))&gt;12,((F$4+'TCO TO BE - HW'!F$4)/($E$4+'TCO TO BE - HW'!$E$4)*SUM(EXTERNE_POZICIE!$M$41:$M$52)*1.23)/EXTERNE_POZICIE!$B$41*12,IF((EXTERNE_POZICIE!$B$41-12*('TCO TO BE- SW'!$D152-1))&lt;0,0,(EXTERNE_POZICIE!$B$41-12*('TCO TO BE- SW'!$D152-1))*((F$4+'TCO TO BE - HW'!F$4)/($E$4+'TCO TO BE - HW'!$E$4)*SUM(EXTERNE_POZICIE!$M$41:$M$52)*1.23)/EXTERNE_POZICIE!$B$41)),0)+IFERROR(SUM(#REF!)*'TCO TO BE- SW'!F$4/'TCO TO BE- SW'!$E$4,0)</f>
        <v>22037.161696031788</v>
      </c>
      <c r="G152" s="565">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HW'!$E$4)*SUM(POZICIE_INTERNE!$I$40:$I$51))/POZICIE_INTERNE!$B$40)),0)+IFERROR(IF((EXTERNE_POZICIE!$B$41-12*('TCO TO BE- SW'!$D152-1))&gt;12,((G$4+'TCO TO BE - HW'!G$4)/($E$4+'TCO TO BE - HW'!$E$4)*SUM(EXTERNE_POZICIE!$M$41:$M$52)*1.23)/EXTERNE_POZICIE!$B$41*12,IF((EXTERNE_POZICIE!$B$41-12*('TCO TO BE- SW'!$D152-1))&lt;0,0,(EXTERNE_POZICIE!$B$41-12*('TCO TO BE- SW'!$D152-1))*((G$4+'TCO TO BE - HW'!G$4)/($E$4+'TCO TO BE - HW'!$E$4)*SUM(EXTERNE_POZICIE!$M$41:$M$52)*1.23)/EXTERNE_POZICIE!$B$41)),0)+IFERROR(SUM(#REF!)*'TCO TO BE- SW'!G$4/'TCO TO BE- SW'!$E$4,0)</f>
        <v>922.74401728327666</v>
      </c>
      <c r="H152" s="565">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HW'!$E$4)*SUM(POZICIE_INTERNE!$I$40:$I$51))/POZICIE_INTERNE!$B$40)),0)+IFERROR(IF((EXTERNE_POZICIE!$B$41-12*('TCO TO BE- SW'!$D152-1))&gt;12,((H$4+'TCO TO BE - HW'!H$4)/($E$4+'TCO TO BE - HW'!$E$4)*SUM(EXTERNE_POZICIE!$M$41:$M$52)*1.23)/EXTERNE_POZICIE!$B$41*12,IF((EXTERNE_POZICIE!$B$41-12*('TCO TO BE- SW'!$D152-1))&lt;0,0,(EXTERNE_POZICIE!$B$41-12*('TCO TO BE- SW'!$D152-1))*((H$4+'TCO TO BE - HW'!H$4)/($E$4+'TCO TO BE - HW'!$E$4)*SUM(EXTERNE_POZICIE!$M$41:$M$52)*1.23)/EXTERNE_POZICIE!$B$41)),0)+IFERROR(SUM(#REF!)*'TCO TO BE- SW'!H$4/'TCO TO BE- SW'!$E$4,0)</f>
        <v>1268.4810161640994</v>
      </c>
      <c r="I152" s="565">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HW'!$E$4)*SUM(POZICIE_INTERNE!$I$40:$I$51))/POZICIE_INTERNE!$B$40)),0)+IFERROR(IF((EXTERNE_POZICIE!$B$41-12*('TCO TO BE- SW'!$D152-1))&gt;12,((I$4+'TCO TO BE - HW'!I$4)/($E$4+'TCO TO BE - HW'!$E$4)*SUM(EXTERNE_POZICIE!$M$41:$M$52)*1.23)/EXTERNE_POZICIE!$B$41*12,IF((EXTERNE_POZICIE!$B$41-12*('TCO TO BE- SW'!$D152-1))&lt;0,0,(EXTERNE_POZICIE!$B$41-12*('TCO TO BE- SW'!$D152-1))*((I$4+'TCO TO BE - HW'!I$4)/($E$4+'TCO TO BE - HW'!$E$4)*SUM(EXTERNE_POZICIE!$M$41:$M$52)*1.23)/EXTERNE_POZICIE!$B$41)),0)+IFERROR(SUM(#REF!)*'TCO TO BE- SW'!I$4/'TCO TO BE- SW'!$E$4,0)</f>
        <v>1639.9146838806589</v>
      </c>
      <c r="J152" s="565">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HW'!$E$4)*SUM(POZICIE_INTERNE!$I$40:$I$51))/POZICIE_INTERNE!$B$40)),0)+IFERROR(IF((EXTERNE_POZICIE!$B$41-12*('TCO TO BE- SW'!$D152-1))&gt;12,((J$4+'TCO TO BE - HW'!J$4)/($E$4+'TCO TO BE - HW'!$E$4)*SUM(EXTERNE_POZICIE!$M$41:$M$52)*1.23)/EXTERNE_POZICIE!$B$41*12,IF((EXTERNE_POZICIE!$B$41-12*('TCO TO BE- SW'!$D152-1))&lt;0,0,(EXTERNE_POZICIE!$B$41-12*('TCO TO BE- SW'!$D152-1))*((J$4+'TCO TO BE - HW'!J$4)/($E$4+'TCO TO BE - HW'!$E$4)*SUM(EXTERNE_POZICIE!$M$41:$M$52)*1.23)/EXTERNE_POZICIE!$B$41)),0)+IFERROR(SUM(#REF!)*'TCO TO BE- SW'!J$4/'TCO TO BE- SW'!$E$4,0)</f>
        <v>432.17124860102837</v>
      </c>
      <c r="K152" s="565">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HW'!$E$4)*SUM(POZICIE_INTERNE!$I$40:$I$51))/POZICIE_INTERNE!$B$40)),0)+IFERROR(IF((EXTERNE_POZICIE!$B$41-12*('TCO TO BE- SW'!$D152-1))&gt;12,((K$4+'TCO TO BE - HW'!K$4)/($E$4+'TCO TO BE - HW'!$E$4)*SUM(EXTERNE_POZICIE!$M$41:$M$52)*1.23)/EXTERNE_POZICIE!$B$41*12,IF((EXTERNE_POZICIE!$B$41-12*('TCO TO BE- SW'!$D152-1))&lt;0,0,(EXTERNE_POZICIE!$B$41-12*('TCO TO BE- SW'!$D152-1))*((K$4+'TCO TO BE - HW'!K$4)/($E$4+'TCO TO BE - HW'!$E$4)*SUM(EXTERNE_POZICIE!$M$41:$M$52)*1.23)/EXTERNE_POZICIE!$B$41)),0)+IFERROR(SUM(#REF!)*'TCO TO BE- SW'!K$4/'TCO TO BE- SW'!$E$4,0)</f>
        <v>948.44068611901366</v>
      </c>
      <c r="L152" s="565">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HW'!$E$4)*SUM(POZICIE_INTERNE!$I$40:$I$51))/POZICIE_INTERNE!$B$40)),0)+IFERROR(IF((EXTERNE_POZICIE!$B$41-12*('TCO TO BE- SW'!$D152-1))&gt;12,((L$4+'TCO TO BE - HW'!L$4)/($E$4+'TCO TO BE - HW'!$E$4)*SUM(EXTERNE_POZICIE!$M$41:$M$52)*1.23)/EXTERNE_POZICIE!$B$41*12,IF((EXTERNE_POZICIE!$B$41-12*('TCO TO BE- SW'!$D152-1))&lt;0,0,(EXTERNE_POZICIE!$B$41-12*('TCO TO BE- SW'!$D152-1))*((L$4+'TCO TO BE - HW'!L$4)/($E$4+'TCO TO BE - HW'!$E$4)*SUM(EXTERNE_POZICIE!$M$41:$M$52)*1.23)/EXTERNE_POZICIE!$B$41)),0)+IFERROR(SUM(#REF!)*'TCO TO BE- SW'!L$4/'TCO TO BE- SW'!$E$4,0)</f>
        <v>1985.6516827614812</v>
      </c>
      <c r="M152" s="565">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HW'!$E$4)*SUM(POZICIE_INTERNE!$I$40:$I$51))/POZICIE_INTERNE!$B$40)),0)+IFERROR(IF((EXTERNE_POZICIE!$B$41-12*('TCO TO BE- SW'!$D152-1))&gt;12,((M$4+'TCO TO BE - HW'!M$4)/($E$4+'TCO TO BE - HW'!$E$4)*SUM(EXTERNE_POZICIE!$M$41:$M$52)*1.23)/EXTERNE_POZICIE!$B$41*12,IF((EXTERNE_POZICIE!$B$41-12*('TCO TO BE- SW'!$D152-1))&lt;0,0,(EXTERNE_POZICIE!$B$41-12*('TCO TO BE- SW'!$D152-1))*((M$4+'TCO TO BE - HW'!M$4)/($E$4+'TCO TO BE - HW'!$E$4)*SUM(EXTERNE_POZICIE!$M$41:$M$52)*1.23)/EXTERNE_POZICIE!$B$41)),0)+IFERROR(SUM(#REF!)*'TCO TO BE- SW'!M$4/'TCO TO BE- SW'!$E$4,0)</f>
        <v>2329.0526208390556</v>
      </c>
      <c r="N152" s="565">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HW'!$E$4)*SUM(POZICIE_INTERNE!$I$40:$I$51))/POZICIE_INTERNE!$B$40)),0)+IFERROR(IF((EXTERNE_POZICIE!$B$41-12*('TCO TO BE- SW'!$D152-1))&gt;12,((N$4+'TCO TO BE - HW'!N$4)/($E$4+'TCO TO BE - HW'!$E$4)*SUM(EXTERNE_POZICIE!$M$41:$M$52)*1.23)/EXTERNE_POZICIE!$B$41*12,IF((EXTERNE_POZICIE!$B$41-12*('TCO TO BE- SW'!$D152-1))&lt;0,0,(EXTERNE_POZICIE!$B$41-12*('TCO TO BE- SW'!$D152-1))*((N$4+'TCO TO BE - HW'!N$4)/($E$4+'TCO TO BE - HW'!$E$4)*SUM(EXTERNE_POZICIE!$M$41:$M$52)*1.23)/EXTERNE_POZICIE!$B$41)),0)+IFERROR(SUM(#REF!)*'TCO TO BE- SW'!N$4/'TCO TO BE- SW'!$E$4,0)</f>
        <v>1034.874935839219</v>
      </c>
      <c r="O152" s="565">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HW'!$E$4)*SUM(POZICIE_INTERNE!$I$40:$I$51))/POZICIE_INTERNE!$B$40)),0)+IFERROR(IF((EXTERNE_POZICIE!$B$41-12*('TCO TO BE- SW'!$D152-1))&gt;12,((O$4+'TCO TO BE - HW'!O$4)/($E$4+'TCO TO BE - HW'!$E$4)*SUM(EXTERNE_POZICIE!$M$41:$M$52)*1.23)/EXTERNE_POZICIE!$B$41*12,IF((EXTERNE_POZICIE!$B$41-12*('TCO TO BE- SW'!$D152-1))&lt;0,0,(EXTERNE_POZICIE!$B$41-12*('TCO TO BE- SW'!$D152-1))*((O$4+'TCO TO BE - HW'!O$4)/($E$4+'TCO TO BE - HW'!$E$4)*SUM(EXTERNE_POZICIE!$M$41:$M$52)*1.23)/EXTERNE_POZICIE!$B$41)),0)+IFERROR(SUM(#REF!)*'TCO TO BE- SW'!O$4/'TCO TO BE- SW'!$E$4,0)</f>
        <v>1553.4804341604533</v>
      </c>
      <c r="P152" s="565">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HW'!$E$4)*SUM(POZICIE_INTERNE!$I$40:$I$51))/POZICIE_INTERNE!$B$40)),0)+IFERROR(IF((EXTERNE_POZICIE!$B$41-12*('TCO TO BE- SW'!$D152-1))&gt;12,((P$4+'TCO TO BE - HW'!P$4)/($E$4+'TCO TO BE - HW'!$E$4)*SUM(EXTERNE_POZICIE!$M$41:$M$52)*1.23)/EXTERNE_POZICIE!$B$41*12,IF((EXTERNE_POZICIE!$B$41-12*('TCO TO BE- SW'!$D152-1))&lt;0,0,(EXTERNE_POZICIE!$B$41-12*('TCO TO BE- SW'!$D152-1))*((P$4+'TCO TO BE - HW'!P$4)/($E$4+'TCO TO BE - HW'!$E$4)*SUM(EXTERNE_POZICIE!$M$41:$M$52)*1.23)/EXTERNE_POZICIE!$B$41)),0)+IFERROR(SUM(#REF!)*'TCO TO BE- SW'!P$4/'TCO TO BE- SW'!$E$4,0)</f>
        <v>1207.7434352796306</v>
      </c>
      <c r="Q152" s="565">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HW'!$E$4)*SUM(POZICIE_INTERNE!$I$40:$I$51))/POZICIE_INTERNE!$B$40)),0)+IFERROR(IF((EXTERNE_POZICIE!$B$41-12*('TCO TO BE- SW'!$D152-1))&gt;12,((Q$4+'TCO TO BE - HW'!Q$4)/($E$4+'TCO TO BE - HW'!$E$4)*SUM(EXTERNE_POZICIE!$M$41:$M$52)*1.23)/EXTERNE_POZICIE!$B$41*12,IF((EXTERNE_POZICIE!$B$41-12*('TCO TO BE- SW'!$D152-1))&lt;0,0,(EXTERNE_POZICIE!$B$41-12*('TCO TO BE- SW'!$D152-1))*((Q$4+'TCO TO BE - HW'!Q$4)/($E$4+'TCO TO BE - HW'!$E$4)*SUM(EXTERNE_POZICIE!$M$41:$M$52)*1.23)/EXTERNE_POZICIE!$B$41)),0)+IFERROR(SUM(#REF!)*'TCO TO BE- SW'!Q$4/'TCO TO BE- SW'!$E$4,0)</f>
        <v>862.00643639880786</v>
      </c>
      <c r="R152" s="565">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HW'!$E$4)*SUM(POZICIE_INTERNE!$I$40:$I$51))/POZICIE_INTERNE!$B$40)),0)+IFERROR(IF((EXTERNE_POZICIE!$B$41-12*('TCO TO BE- SW'!$D152-1))&gt;12,((R$4+'TCO TO BE - HW'!R$4)/($E$4+'TCO TO BE - HW'!$E$4)*SUM(EXTERNE_POZICIE!$M$41:$M$52)*1.23)/EXTERNE_POZICIE!$B$41*12,IF((EXTERNE_POZICIE!$B$41-12*('TCO TO BE- SW'!$D152-1))&lt;0,0,(EXTERNE_POZICIE!$B$41-12*('TCO TO BE- SW'!$D152-1))*((R$4+'TCO TO BE - HW'!R$4)/($E$4+'TCO TO BE - HW'!$E$4)*SUM(EXTERNE_POZICIE!$M$41:$M$52)*1.23)/EXTERNE_POZICIE!$B$41)),0)+IFERROR(SUM(#REF!)*'TCO TO BE- SW'!R$4/'TCO TO BE- SW'!$E$4,0)</f>
        <v>862.00643639880786</v>
      </c>
      <c r="S152" s="565">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HW'!$E$4)*SUM(POZICIE_INTERNE!$I$40:$I$51))/POZICIE_INTERNE!$B$40)),0)+IFERROR(IF((EXTERNE_POZICIE!$B$41-12*('TCO TO BE- SW'!$D152-1))&gt;12,((S$4+'TCO TO BE - HW'!S$4)/($E$4+'TCO TO BE - HW'!$E$4)*SUM(EXTERNE_POZICIE!$M$41:$M$52)*1.23)/EXTERNE_POZICIE!$B$41*12,IF((EXTERNE_POZICIE!$B$41-12*('TCO TO BE- SW'!$D152-1))&lt;0,0,(EXTERNE_POZICIE!$B$41-12*('TCO TO BE- SW'!$D152-1))*((S$4+'TCO TO BE - HW'!S$4)/($E$4+'TCO TO BE - HW'!$E$4)*SUM(EXTERNE_POZICIE!$M$41:$M$52)*1.23)/EXTERNE_POZICIE!$B$41)),0)+IFERROR(SUM(#REF!)*'TCO TO BE- SW'!S$4/'TCO TO BE- SW'!$E$4,0)</f>
        <v>1294.1776849998362</v>
      </c>
      <c r="T152" s="565">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HW'!$E$4)*SUM(POZICIE_INTERNE!$I$40:$I$51))/POZICIE_INTERNE!$B$40)),0)+IFERROR(IF((EXTERNE_POZICIE!$B$41-12*('TCO TO BE- SW'!$D152-1))&gt;12,((T$4+'TCO TO BE - HW'!T$4)/($E$4+'TCO TO BE - HW'!$E$4)*SUM(EXTERNE_POZICIE!$M$41:$M$52)*1.23)/EXTERNE_POZICIE!$B$41*12,IF((EXTERNE_POZICIE!$B$41-12*('TCO TO BE- SW'!$D152-1))&lt;0,0,(EXTERNE_POZICIE!$B$41-12*('TCO TO BE- SW'!$D152-1))*((T$4+'TCO TO BE - HW'!T$4)/($E$4+'TCO TO BE - HW'!$E$4)*SUM(EXTERNE_POZICIE!$M$41:$M$52)*1.23)/EXTERNE_POZICIE!$B$41)),0)+IFERROR(SUM(#REF!)*'TCO TO BE- SW'!T$4/'TCO TO BE- SW'!$E$4,0)</f>
        <v>1467.0461844402478</v>
      </c>
      <c r="U152" s="565">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HW'!$E$4)*SUM(POZICIE_INTERNE!$I$40:$I$51))/POZICIE_INTERNE!$B$40)),0)+IFERROR(IF((EXTERNE_POZICIE!$B$41-12*('TCO TO BE- SW'!$D152-1))&gt;12,((U$4+'TCO TO BE - HW'!U$4)/($E$4+'TCO TO BE - HW'!$E$4)*SUM(EXTERNE_POZICIE!$M$41:$M$52)*1.23)/EXTERNE_POZICIE!$B$41*12,IF((EXTERNE_POZICIE!$B$41-12*('TCO TO BE- SW'!$D152-1))&lt;0,0,(EXTERNE_POZICIE!$B$41-12*('TCO TO BE- SW'!$D152-1))*((U$4+'TCO TO BE - HW'!U$4)/($E$4+'TCO TO BE - HW'!$E$4)*SUM(EXTERNE_POZICIE!$M$41:$M$52)*1.23)/EXTERNE_POZICIE!$B$41)),0)+IFERROR(SUM(#REF!)*'TCO TO BE- SW'!U$4/'TCO TO BE- SW'!$E$4,0)</f>
        <v>1380.6119347200417</v>
      </c>
      <c r="V152" s="565">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HW'!$E$4)*SUM(POZICIE_INTERNE!$I$40:$I$51))/POZICIE_INTERNE!$B$40)),0)+IFERROR(IF((EXTERNE_POZICIE!$B$41-12*('TCO TO BE- SW'!$D152-1))&gt;12,((V$4+'TCO TO BE - HW'!V$4)/($E$4+'TCO TO BE - HW'!$E$4)*SUM(EXTERNE_POZICIE!$M$41:$M$52)*1.23)/EXTERNE_POZICIE!$B$41*12,IF((EXTERNE_POZICIE!$B$41-12*('TCO TO BE- SW'!$D152-1))&lt;0,0,(EXTERNE_POZICIE!$B$41-12*('TCO TO BE- SW'!$D152-1))*((V$4+'TCO TO BE - HW'!V$4)/($E$4+'TCO TO BE - HW'!$E$4)*SUM(EXTERNE_POZICIE!$M$41:$M$52)*1.23)/EXTERNE_POZICIE!$B$41)),0)+IFERROR(SUM(#REF!)*'TCO TO BE- SW'!V$4/'TCO TO BE- SW'!$E$4,0)</f>
        <v>691.47399776164536</v>
      </c>
      <c r="W152" s="565">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HW'!$E$4)*SUM(POZICIE_INTERNE!$I$40:$I$51))/POZICIE_INTERNE!$B$40)),0)+IFERROR(IF((EXTERNE_POZICIE!$B$41-12*('TCO TO BE- SW'!$D152-1))&gt;12,((W$4+'TCO TO BE - HW'!W$4)/($E$4+'TCO TO BE - HW'!$E$4)*SUM(EXTERNE_POZICIE!$M$41:$M$52)*1.23)/EXTERNE_POZICIE!$B$41*12,IF((EXTERNE_POZICIE!$B$41-12*('TCO TO BE- SW'!$D152-1))&lt;0,0,(EXTERNE_POZICIE!$B$41-12*('TCO TO BE- SW'!$D152-1))*((W$4+'TCO TO BE - HW'!W$4)/($E$4+'TCO TO BE - HW'!$E$4)*SUM(EXTERNE_POZICIE!$M$41:$M$52)*1.23)/EXTERNE_POZICIE!$B$41)),0)+IFERROR(SUM(#REF!)*'TCO TO BE- SW'!W$4/'TCO TO BE- SW'!$E$4,0)</f>
        <v>1207.7434352796306</v>
      </c>
      <c r="X152" s="565">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HW'!$E$4)*SUM(POZICIE_INTERNE!$I$40:$I$51))/POZICIE_INTERNE!$B$40)),0)+IFERROR(IF((EXTERNE_POZICIE!$B$41-12*('TCO TO BE- SW'!$D152-1))&gt;12,((X$4+'TCO TO BE - HW'!X$4)/($E$4+'TCO TO BE - HW'!$E$4)*SUM(EXTERNE_POZICIE!$M$41:$M$52)*1.23)/EXTERNE_POZICIE!$B$41*12,IF((EXTERNE_POZICIE!$B$41-12*('TCO TO BE- SW'!$D152-1))&lt;0,0,(EXTERNE_POZICIE!$B$41-12*('TCO TO BE- SW'!$D152-1))*((X$4+'TCO TO BE - HW'!X$4)/($E$4+'TCO TO BE - HW'!$E$4)*SUM(EXTERNE_POZICIE!$M$41:$M$52)*1.23)/EXTERNE_POZICIE!$B$41)),0)+IFERROR(SUM(#REF!)*'TCO TO BE- SW'!X$4/'TCO TO BE- SW'!$E$4,0)</f>
        <v>1380.6119347200417</v>
      </c>
      <c r="Y152" s="565">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HW'!$E$4)*SUM(POZICIE_INTERNE!$I$40:$I$51))/POZICIE_INTERNE!$B$40)),0)+IFERROR(IF((EXTERNE_POZICIE!$B$41-12*('TCO TO BE- SW'!$D152-1))&gt;12,((Y$4+'TCO TO BE - HW'!Y$4)/($E$4+'TCO TO BE - HW'!$E$4)*SUM(EXTERNE_POZICIE!$M$41:$M$52)*1.23)/EXTERNE_POZICIE!$B$41*12,IF((EXTERNE_POZICIE!$B$41-12*('TCO TO BE- SW'!$D152-1))&lt;0,0,(EXTERNE_POZICIE!$B$41-12*('TCO TO BE- SW'!$D152-1))*((Y$4+'TCO TO BE - HW'!Y$4)/($E$4+'TCO TO BE - HW'!$E$4)*SUM(EXTERNE_POZICIE!$M$41:$M$52)*1.23)/EXTERNE_POZICIE!$B$41)),0)+IFERROR(SUM(#REF!)*'TCO TO BE- SW'!Y$4/'TCO TO BE- SW'!$E$4,0)</f>
        <v>518.60549832123388</v>
      </c>
      <c r="Z152" s="565">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HW'!$E$4)*SUM(POZICIE_INTERNE!$I$40:$I$51))/POZICIE_INTERNE!$B$40)),0)+IFERROR(IF((EXTERNE_POZICIE!$B$41-12*('TCO TO BE- SW'!$D152-1))&gt;12,((Z$4+'TCO TO BE - HW'!Z$4)/($E$4+'TCO TO BE - HW'!$E$4)*SUM(EXTERNE_POZICIE!$M$41:$M$52)*1.23)/EXTERNE_POZICIE!$B$41*12,IF((EXTERNE_POZICIE!$B$41-12*('TCO TO BE- SW'!$D152-1))&lt;0,0,(EXTERNE_POZICIE!$B$41-12*('TCO TO BE- SW'!$D152-1))*((Z$4+'TCO TO BE - HW'!Z$4)/($E$4+'TCO TO BE - HW'!$E$4)*SUM(EXTERNE_POZICIE!$M$41:$M$52)*1.23)/EXTERNE_POZICIE!$B$41)),0)+IFERROR(SUM(#REF!)*'TCO TO BE- SW'!Z$4/'TCO TO BE- SW'!$E$4,0)</f>
        <v>0</v>
      </c>
    </row>
    <row r="153" spans="1:26">
      <c r="A153" s="807"/>
      <c r="B153" s="808"/>
      <c r="C153" s="808"/>
      <c r="D153" s="64">
        <v>3</v>
      </c>
      <c r="E153" s="68">
        <f t="shared" si="16"/>
        <v>22512</v>
      </c>
      <c r="F153" s="565">
        <f>IFERROR(IF((POZICIE_INTERNE!$B$40-12*('TCO TO BE- SW'!$D153-1))&gt;12,((F$4+'TCO TO BE - HW'!F$4)/($E$4+'TCO TO BE - HW'!$E$4)*SUM(POZICIE_INTERNE!$I$40:$I$51))/POZICIE_INTERNE!$B$40*12,IF((POZICIE_INTERNE!$B$40-12*('TCO TO BE- SW'!$D153-1))&lt;0,0,(POZICIE_INTERNE!$B$40-12*('TCO TO BE- SW'!$D153-1))*((F$4+'TCO TO BE - HW'!F$4)/($E$4+'TCO TO BE - HW'!$E$4)*SUM(POZICIE_INTERNE!$I$40:$I$51))/POZICIE_INTERNE!$B$40)),0)+IFERROR(IF((EXTERNE_POZICIE!$B$41-12*('TCO TO BE- SW'!$D153-1))&gt;12,((F$4+'TCO TO BE - HW'!F$4)/($E$4+'TCO TO BE - HW'!$E$4)*SUM(EXTERNE_POZICIE!$M$41:$M$52)*1.23)/EXTERNE_POZICIE!$B$41*12,IF((EXTERNE_POZICIE!$B$41-12*('TCO TO BE- SW'!$D153-1))&lt;0,0,(EXTERNE_POZICIE!$B$41-12*('TCO TO BE- SW'!$D153-1))*((F$4+'TCO TO BE - HW'!F$4)/($E$4+'TCO TO BE - HW'!$E$4)*SUM(EXTERNE_POZICIE!$M$41:$M$52)*1.23)/EXTERNE_POZICIE!$B$41)),0)+IFERROR(SUM(#REF!)*'TCO TO BE- SW'!F$4/'TCO TO BE- SW'!$E$4,0)</f>
        <v>11018.580848015896</v>
      </c>
      <c r="G153" s="565">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HW'!$E$4)*SUM(POZICIE_INTERNE!$I$40:$I$51))/POZICIE_INTERNE!$B$40)),0)+IFERROR(IF((EXTERNE_POZICIE!$B$41-12*('TCO TO BE- SW'!$D153-1))&gt;12,((G$4+'TCO TO BE - HW'!G$4)/($E$4+'TCO TO BE - HW'!$E$4)*SUM(EXTERNE_POZICIE!$M$41:$M$52)*1.23)/EXTERNE_POZICIE!$B$41*12,IF((EXTERNE_POZICIE!$B$41-12*('TCO TO BE- SW'!$D153-1))&lt;0,0,(EXTERNE_POZICIE!$B$41-12*('TCO TO BE- SW'!$D153-1))*((G$4+'TCO TO BE - HW'!G$4)/($E$4+'TCO TO BE - HW'!$E$4)*SUM(EXTERNE_POZICIE!$M$41:$M$52)*1.23)/EXTERNE_POZICIE!$B$41)),0)+IFERROR(SUM(#REF!)*'TCO TO BE- SW'!G$4/'TCO TO BE- SW'!$E$4,0)</f>
        <v>461.37200864163839</v>
      </c>
      <c r="H153" s="565">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HW'!$E$4)*SUM(POZICIE_INTERNE!$I$40:$I$51))/POZICIE_INTERNE!$B$40)),0)+IFERROR(IF((EXTERNE_POZICIE!$B$41-12*('TCO TO BE- SW'!$D153-1))&gt;12,((H$4+'TCO TO BE - HW'!H$4)/($E$4+'TCO TO BE - HW'!$E$4)*SUM(EXTERNE_POZICIE!$M$41:$M$52)*1.23)/EXTERNE_POZICIE!$B$41*12,IF((EXTERNE_POZICIE!$B$41-12*('TCO TO BE- SW'!$D153-1))&lt;0,0,(EXTERNE_POZICIE!$B$41-12*('TCO TO BE- SW'!$D153-1))*((H$4+'TCO TO BE - HW'!H$4)/($E$4+'TCO TO BE - HW'!$E$4)*SUM(EXTERNE_POZICIE!$M$41:$M$52)*1.23)/EXTERNE_POZICIE!$B$41)),0)+IFERROR(SUM(#REF!)*'TCO TO BE- SW'!H$4/'TCO TO BE- SW'!$E$4,0)</f>
        <v>634.2405080820497</v>
      </c>
      <c r="I153" s="565">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HW'!$E$4)*SUM(POZICIE_INTERNE!$I$40:$I$51))/POZICIE_INTERNE!$B$40)),0)+IFERROR(IF((EXTERNE_POZICIE!$B$41-12*('TCO TO BE- SW'!$D153-1))&gt;12,((I$4+'TCO TO BE - HW'!I$4)/($E$4+'TCO TO BE - HW'!$E$4)*SUM(EXTERNE_POZICIE!$M$41:$M$52)*1.23)/EXTERNE_POZICIE!$B$41*12,IF((EXTERNE_POZICIE!$B$41-12*('TCO TO BE- SW'!$D153-1))&lt;0,0,(EXTERNE_POZICIE!$B$41-12*('TCO TO BE- SW'!$D153-1))*((I$4+'TCO TO BE - HW'!I$4)/($E$4+'TCO TO BE - HW'!$E$4)*SUM(EXTERNE_POZICIE!$M$41:$M$52)*1.23)/EXTERNE_POZICIE!$B$41)),0)+IFERROR(SUM(#REF!)*'TCO TO BE- SW'!I$4/'TCO TO BE- SW'!$E$4,0)</f>
        <v>819.95734194032946</v>
      </c>
      <c r="J153" s="565">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HW'!$E$4)*SUM(POZICIE_INTERNE!$I$40:$I$51))/POZICIE_INTERNE!$B$40)),0)+IFERROR(IF((EXTERNE_POZICIE!$B$41-12*('TCO TO BE- SW'!$D153-1))&gt;12,((J$4+'TCO TO BE - HW'!J$4)/($E$4+'TCO TO BE - HW'!$E$4)*SUM(EXTERNE_POZICIE!$M$41:$M$52)*1.23)/EXTERNE_POZICIE!$B$41*12,IF((EXTERNE_POZICIE!$B$41-12*('TCO TO BE- SW'!$D153-1))&lt;0,0,(EXTERNE_POZICIE!$B$41-12*('TCO TO BE- SW'!$D153-1))*((J$4+'TCO TO BE - HW'!J$4)/($E$4+'TCO TO BE - HW'!$E$4)*SUM(EXTERNE_POZICIE!$M$41:$M$52)*1.23)/EXTERNE_POZICIE!$B$41)),0)+IFERROR(SUM(#REF!)*'TCO TO BE- SW'!J$4/'TCO TO BE- SW'!$E$4,0)</f>
        <v>216.08562430051418</v>
      </c>
      <c r="K153" s="565">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HW'!$E$4)*SUM(POZICIE_INTERNE!$I$40:$I$51))/POZICIE_INTERNE!$B$40)),0)+IFERROR(IF((EXTERNE_POZICIE!$B$41-12*('TCO TO BE- SW'!$D153-1))&gt;12,((K$4+'TCO TO BE - HW'!K$4)/($E$4+'TCO TO BE - HW'!$E$4)*SUM(EXTERNE_POZICIE!$M$41:$M$52)*1.23)/EXTERNE_POZICIE!$B$41*12,IF((EXTERNE_POZICIE!$B$41-12*('TCO TO BE- SW'!$D153-1))&lt;0,0,(EXTERNE_POZICIE!$B$41-12*('TCO TO BE- SW'!$D153-1))*((K$4+'TCO TO BE - HW'!K$4)/($E$4+'TCO TO BE - HW'!$E$4)*SUM(EXTERNE_POZICIE!$M$41:$M$52)*1.23)/EXTERNE_POZICIE!$B$41)),0)+IFERROR(SUM(#REF!)*'TCO TO BE- SW'!K$4/'TCO TO BE- SW'!$E$4,0)</f>
        <v>474.22034305950677</v>
      </c>
      <c r="L153" s="565">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HW'!$E$4)*SUM(POZICIE_INTERNE!$I$40:$I$51))/POZICIE_INTERNE!$B$40)),0)+IFERROR(IF((EXTERNE_POZICIE!$B$41-12*('TCO TO BE- SW'!$D153-1))&gt;12,((L$4+'TCO TO BE - HW'!L$4)/($E$4+'TCO TO BE - HW'!$E$4)*SUM(EXTERNE_POZICIE!$M$41:$M$52)*1.23)/EXTERNE_POZICIE!$B$41*12,IF((EXTERNE_POZICIE!$B$41-12*('TCO TO BE- SW'!$D153-1))&lt;0,0,(EXTERNE_POZICIE!$B$41-12*('TCO TO BE- SW'!$D153-1))*((L$4+'TCO TO BE - HW'!L$4)/($E$4+'TCO TO BE - HW'!$E$4)*SUM(EXTERNE_POZICIE!$M$41:$M$52)*1.23)/EXTERNE_POZICIE!$B$41)),0)+IFERROR(SUM(#REF!)*'TCO TO BE- SW'!L$4/'TCO TO BE- SW'!$E$4,0)</f>
        <v>992.82584138074048</v>
      </c>
      <c r="M153" s="565">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HW'!$E$4)*SUM(POZICIE_INTERNE!$I$40:$I$51))/POZICIE_INTERNE!$B$40)),0)+IFERROR(IF((EXTERNE_POZICIE!$B$41-12*('TCO TO BE- SW'!$D153-1))&gt;12,((M$4+'TCO TO BE - HW'!M$4)/($E$4+'TCO TO BE - HW'!$E$4)*SUM(EXTERNE_POZICIE!$M$41:$M$52)*1.23)/EXTERNE_POZICIE!$B$41*12,IF((EXTERNE_POZICIE!$B$41-12*('TCO TO BE- SW'!$D153-1))&lt;0,0,(EXTERNE_POZICIE!$B$41-12*('TCO TO BE- SW'!$D153-1))*((M$4+'TCO TO BE - HW'!M$4)/($E$4+'TCO TO BE - HW'!$E$4)*SUM(EXTERNE_POZICIE!$M$41:$M$52)*1.23)/EXTERNE_POZICIE!$B$41)),0)+IFERROR(SUM(#REF!)*'TCO TO BE- SW'!M$4/'TCO TO BE- SW'!$E$4,0)</f>
        <v>1164.526310419528</v>
      </c>
      <c r="N153" s="565">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HW'!$E$4)*SUM(POZICIE_INTERNE!$I$40:$I$51))/POZICIE_INTERNE!$B$40)),0)+IFERROR(IF((EXTERNE_POZICIE!$B$41-12*('TCO TO BE- SW'!$D153-1))&gt;12,((N$4+'TCO TO BE - HW'!N$4)/($E$4+'TCO TO BE - HW'!$E$4)*SUM(EXTERNE_POZICIE!$M$41:$M$52)*1.23)/EXTERNE_POZICIE!$B$41*12,IF((EXTERNE_POZICIE!$B$41-12*('TCO TO BE- SW'!$D153-1))&lt;0,0,(EXTERNE_POZICIE!$B$41-12*('TCO TO BE- SW'!$D153-1))*((N$4+'TCO TO BE - HW'!N$4)/($E$4+'TCO TO BE - HW'!$E$4)*SUM(EXTERNE_POZICIE!$M$41:$M$52)*1.23)/EXTERNE_POZICIE!$B$41)),0)+IFERROR(SUM(#REF!)*'TCO TO BE- SW'!N$4/'TCO TO BE- SW'!$E$4,0)</f>
        <v>517.43746791960962</v>
      </c>
      <c r="O153" s="565">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HW'!$E$4)*SUM(POZICIE_INTERNE!$I$40:$I$51))/POZICIE_INTERNE!$B$40)),0)+IFERROR(IF((EXTERNE_POZICIE!$B$41-12*('TCO TO BE- SW'!$D153-1))&gt;12,((O$4+'TCO TO BE - HW'!O$4)/($E$4+'TCO TO BE - HW'!$E$4)*SUM(EXTERNE_POZICIE!$M$41:$M$52)*1.23)/EXTERNE_POZICIE!$B$41*12,IF((EXTERNE_POZICIE!$B$41-12*('TCO TO BE- SW'!$D153-1))&lt;0,0,(EXTERNE_POZICIE!$B$41-12*('TCO TO BE- SW'!$D153-1))*((O$4+'TCO TO BE - HW'!O$4)/($E$4+'TCO TO BE - HW'!$E$4)*SUM(EXTERNE_POZICIE!$M$41:$M$52)*1.23)/EXTERNE_POZICIE!$B$41)),0)+IFERROR(SUM(#REF!)*'TCO TO BE- SW'!O$4/'TCO TO BE- SW'!$E$4,0)</f>
        <v>776.74021708022667</v>
      </c>
      <c r="P153" s="565">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HW'!$E$4)*SUM(POZICIE_INTERNE!$I$40:$I$51))/POZICIE_INTERNE!$B$40)),0)+IFERROR(IF((EXTERNE_POZICIE!$B$41-12*('TCO TO BE- SW'!$D153-1))&gt;12,((P$4+'TCO TO BE - HW'!P$4)/($E$4+'TCO TO BE - HW'!$E$4)*SUM(EXTERNE_POZICIE!$M$41:$M$52)*1.23)/EXTERNE_POZICIE!$B$41*12,IF((EXTERNE_POZICIE!$B$41-12*('TCO TO BE- SW'!$D153-1))&lt;0,0,(EXTERNE_POZICIE!$B$41-12*('TCO TO BE- SW'!$D153-1))*((P$4+'TCO TO BE - HW'!P$4)/($E$4+'TCO TO BE - HW'!$E$4)*SUM(EXTERNE_POZICIE!$M$41:$M$52)*1.23)/EXTERNE_POZICIE!$B$41)),0)+IFERROR(SUM(#REF!)*'TCO TO BE- SW'!P$4/'TCO TO BE- SW'!$E$4,0)</f>
        <v>603.87171763981519</v>
      </c>
      <c r="Q153" s="565">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HW'!$E$4)*SUM(POZICIE_INTERNE!$I$40:$I$51))/POZICIE_INTERNE!$B$40)),0)+IFERROR(IF((EXTERNE_POZICIE!$B$41-12*('TCO TO BE- SW'!$D153-1))&gt;12,((Q$4+'TCO TO BE - HW'!Q$4)/($E$4+'TCO TO BE - HW'!$E$4)*SUM(EXTERNE_POZICIE!$M$41:$M$52)*1.23)/EXTERNE_POZICIE!$B$41*12,IF((EXTERNE_POZICIE!$B$41-12*('TCO TO BE- SW'!$D153-1))&lt;0,0,(EXTERNE_POZICIE!$B$41-12*('TCO TO BE- SW'!$D153-1))*((Q$4+'TCO TO BE - HW'!Q$4)/($E$4+'TCO TO BE - HW'!$E$4)*SUM(EXTERNE_POZICIE!$M$41:$M$52)*1.23)/EXTERNE_POZICIE!$B$41)),0)+IFERROR(SUM(#REF!)*'TCO TO BE- SW'!Q$4/'TCO TO BE- SW'!$E$4,0)</f>
        <v>431.00321819940399</v>
      </c>
      <c r="R153" s="565">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HW'!$E$4)*SUM(POZICIE_INTERNE!$I$40:$I$51))/POZICIE_INTERNE!$B$40)),0)+IFERROR(IF((EXTERNE_POZICIE!$B$41-12*('TCO TO BE- SW'!$D153-1))&gt;12,((R$4+'TCO TO BE - HW'!R$4)/($E$4+'TCO TO BE - HW'!$E$4)*SUM(EXTERNE_POZICIE!$M$41:$M$52)*1.23)/EXTERNE_POZICIE!$B$41*12,IF((EXTERNE_POZICIE!$B$41-12*('TCO TO BE- SW'!$D153-1))&lt;0,0,(EXTERNE_POZICIE!$B$41-12*('TCO TO BE- SW'!$D153-1))*((R$4+'TCO TO BE - HW'!R$4)/($E$4+'TCO TO BE - HW'!$E$4)*SUM(EXTERNE_POZICIE!$M$41:$M$52)*1.23)/EXTERNE_POZICIE!$B$41)),0)+IFERROR(SUM(#REF!)*'TCO TO BE- SW'!R$4/'TCO TO BE- SW'!$E$4,0)</f>
        <v>431.00321819940399</v>
      </c>
      <c r="S153" s="565">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HW'!$E$4)*SUM(POZICIE_INTERNE!$I$40:$I$51))/POZICIE_INTERNE!$B$40)),0)+IFERROR(IF((EXTERNE_POZICIE!$B$41-12*('TCO TO BE- SW'!$D153-1))&gt;12,((S$4+'TCO TO BE - HW'!S$4)/($E$4+'TCO TO BE - HW'!$E$4)*SUM(EXTERNE_POZICIE!$M$41:$M$52)*1.23)/EXTERNE_POZICIE!$B$41*12,IF((EXTERNE_POZICIE!$B$41-12*('TCO TO BE- SW'!$D153-1))&lt;0,0,(EXTERNE_POZICIE!$B$41-12*('TCO TO BE- SW'!$D153-1))*((S$4+'TCO TO BE - HW'!S$4)/($E$4+'TCO TO BE - HW'!$E$4)*SUM(EXTERNE_POZICIE!$M$41:$M$52)*1.23)/EXTERNE_POZICIE!$B$41)),0)+IFERROR(SUM(#REF!)*'TCO TO BE- SW'!S$4/'TCO TO BE- SW'!$E$4,0)</f>
        <v>647.08884249991797</v>
      </c>
      <c r="T153" s="565">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HW'!$E$4)*SUM(POZICIE_INTERNE!$I$40:$I$51))/POZICIE_INTERNE!$B$40)),0)+IFERROR(IF((EXTERNE_POZICIE!$B$41-12*('TCO TO BE- SW'!$D153-1))&gt;12,((T$4+'TCO TO BE - HW'!T$4)/($E$4+'TCO TO BE - HW'!$E$4)*SUM(EXTERNE_POZICIE!$M$41:$M$52)*1.23)/EXTERNE_POZICIE!$B$41*12,IF((EXTERNE_POZICIE!$B$41-12*('TCO TO BE- SW'!$D153-1))&lt;0,0,(EXTERNE_POZICIE!$B$41-12*('TCO TO BE- SW'!$D153-1))*((T$4+'TCO TO BE - HW'!T$4)/($E$4+'TCO TO BE - HW'!$E$4)*SUM(EXTERNE_POZICIE!$M$41:$M$52)*1.23)/EXTERNE_POZICIE!$B$41)),0)+IFERROR(SUM(#REF!)*'TCO TO BE- SW'!T$4/'TCO TO BE- SW'!$E$4,0)</f>
        <v>733.52309222012389</v>
      </c>
      <c r="U153" s="565">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HW'!$E$4)*SUM(POZICIE_INTERNE!$I$40:$I$51))/POZICIE_INTERNE!$B$40)),0)+IFERROR(IF((EXTERNE_POZICIE!$B$41-12*('TCO TO BE- SW'!$D153-1))&gt;12,((U$4+'TCO TO BE - HW'!U$4)/($E$4+'TCO TO BE - HW'!$E$4)*SUM(EXTERNE_POZICIE!$M$41:$M$52)*1.23)/EXTERNE_POZICIE!$B$41*12,IF((EXTERNE_POZICIE!$B$41-12*('TCO TO BE- SW'!$D153-1))&lt;0,0,(EXTERNE_POZICIE!$B$41-12*('TCO TO BE- SW'!$D153-1))*((U$4+'TCO TO BE - HW'!U$4)/($E$4+'TCO TO BE - HW'!$E$4)*SUM(EXTERNE_POZICIE!$M$41:$M$52)*1.23)/EXTERNE_POZICIE!$B$41)),0)+IFERROR(SUM(#REF!)*'TCO TO BE- SW'!U$4/'TCO TO BE- SW'!$E$4,0)</f>
        <v>690.30596736002076</v>
      </c>
      <c r="V153" s="565">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HW'!$E$4)*SUM(POZICIE_INTERNE!$I$40:$I$51))/POZICIE_INTERNE!$B$40)),0)+IFERROR(IF((EXTERNE_POZICIE!$B$41-12*('TCO TO BE- SW'!$D153-1))&gt;12,((V$4+'TCO TO BE - HW'!V$4)/($E$4+'TCO TO BE - HW'!$E$4)*SUM(EXTERNE_POZICIE!$M$41:$M$52)*1.23)/EXTERNE_POZICIE!$B$41*12,IF((EXTERNE_POZICIE!$B$41-12*('TCO TO BE- SW'!$D153-1))&lt;0,0,(EXTERNE_POZICIE!$B$41-12*('TCO TO BE- SW'!$D153-1))*((V$4+'TCO TO BE - HW'!V$4)/($E$4+'TCO TO BE - HW'!$E$4)*SUM(EXTERNE_POZICIE!$M$41:$M$52)*1.23)/EXTERNE_POZICIE!$B$41)),0)+IFERROR(SUM(#REF!)*'TCO TO BE- SW'!V$4/'TCO TO BE- SW'!$E$4,0)</f>
        <v>345.73699888082263</v>
      </c>
      <c r="W153" s="565">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HW'!$E$4)*SUM(POZICIE_INTERNE!$I$40:$I$51))/POZICIE_INTERNE!$B$40)),0)+IFERROR(IF((EXTERNE_POZICIE!$B$41-12*('TCO TO BE- SW'!$D153-1))&gt;12,((W$4+'TCO TO BE - HW'!W$4)/($E$4+'TCO TO BE - HW'!$E$4)*SUM(EXTERNE_POZICIE!$M$41:$M$52)*1.23)/EXTERNE_POZICIE!$B$41*12,IF((EXTERNE_POZICIE!$B$41-12*('TCO TO BE- SW'!$D153-1))&lt;0,0,(EXTERNE_POZICIE!$B$41-12*('TCO TO BE- SW'!$D153-1))*((W$4+'TCO TO BE - HW'!W$4)/($E$4+'TCO TO BE - HW'!$E$4)*SUM(EXTERNE_POZICIE!$M$41:$M$52)*1.23)/EXTERNE_POZICIE!$B$41)),0)+IFERROR(SUM(#REF!)*'TCO TO BE- SW'!W$4/'TCO TO BE- SW'!$E$4,0)</f>
        <v>603.87171763981519</v>
      </c>
      <c r="X153" s="565">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HW'!$E$4)*SUM(POZICIE_INTERNE!$I$40:$I$51))/POZICIE_INTERNE!$B$40)),0)+IFERROR(IF((EXTERNE_POZICIE!$B$41-12*('TCO TO BE- SW'!$D153-1))&gt;12,((X$4+'TCO TO BE - HW'!X$4)/($E$4+'TCO TO BE - HW'!$E$4)*SUM(EXTERNE_POZICIE!$M$41:$M$52)*1.23)/EXTERNE_POZICIE!$B$41*12,IF((EXTERNE_POZICIE!$B$41-12*('TCO TO BE- SW'!$D153-1))&lt;0,0,(EXTERNE_POZICIE!$B$41-12*('TCO TO BE- SW'!$D153-1))*((X$4+'TCO TO BE - HW'!X$4)/($E$4+'TCO TO BE - HW'!$E$4)*SUM(EXTERNE_POZICIE!$M$41:$M$52)*1.23)/EXTERNE_POZICIE!$B$41)),0)+IFERROR(SUM(#REF!)*'TCO TO BE- SW'!X$4/'TCO TO BE- SW'!$E$4,0)</f>
        <v>690.30596736002076</v>
      </c>
      <c r="Y153" s="565">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HW'!$E$4)*SUM(POZICIE_INTERNE!$I$40:$I$51))/POZICIE_INTERNE!$B$40)),0)+IFERROR(IF((EXTERNE_POZICIE!$B$41-12*('TCO TO BE- SW'!$D153-1))&gt;12,((Y$4+'TCO TO BE - HW'!Y$4)/($E$4+'TCO TO BE - HW'!$E$4)*SUM(EXTERNE_POZICIE!$M$41:$M$52)*1.23)/EXTERNE_POZICIE!$B$41*12,IF((EXTERNE_POZICIE!$B$41-12*('TCO TO BE- SW'!$D153-1))&lt;0,0,(EXTERNE_POZICIE!$B$41-12*('TCO TO BE- SW'!$D153-1))*((Y$4+'TCO TO BE - HW'!Y$4)/($E$4+'TCO TO BE - HW'!$E$4)*SUM(EXTERNE_POZICIE!$M$41:$M$52)*1.23)/EXTERNE_POZICIE!$B$41)),0)+IFERROR(SUM(#REF!)*'TCO TO BE- SW'!Y$4/'TCO TO BE- SW'!$E$4,0)</f>
        <v>259.302749160617</v>
      </c>
      <c r="Z153" s="565">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HW'!$E$4)*SUM(POZICIE_INTERNE!$I$40:$I$51))/POZICIE_INTERNE!$B$40)),0)+IFERROR(IF((EXTERNE_POZICIE!$B$41-12*('TCO TO BE- SW'!$D153-1))&gt;12,((Z$4+'TCO TO BE - HW'!Z$4)/($E$4+'TCO TO BE - HW'!$E$4)*SUM(EXTERNE_POZICIE!$M$41:$M$52)*1.23)/EXTERNE_POZICIE!$B$41*12,IF((EXTERNE_POZICIE!$B$41-12*('TCO TO BE- SW'!$D153-1))&lt;0,0,(EXTERNE_POZICIE!$B$41-12*('TCO TO BE- SW'!$D153-1))*((Z$4+'TCO TO BE - HW'!Z$4)/($E$4+'TCO TO BE - HW'!$E$4)*SUM(EXTERNE_POZICIE!$M$41:$M$52)*1.23)/EXTERNE_POZICIE!$B$41)),0)+IFERROR(SUM(#REF!)*'TCO TO BE- SW'!Z$4/'TCO TO BE- SW'!$E$4,0)</f>
        <v>0</v>
      </c>
    </row>
    <row r="154" spans="1:26">
      <c r="A154" s="807"/>
      <c r="B154" s="808"/>
      <c r="C154" s="808"/>
      <c r="D154" s="64">
        <v>4</v>
      </c>
      <c r="E154" s="68">
        <f t="shared" si="16"/>
        <v>0</v>
      </c>
      <c r="F154" s="565">
        <f>IFERROR(IF((POZICIE_INTERNE!$B$40-12*('TCO TO BE- SW'!$D154-1))&gt;12,((F$4+'TCO TO BE - HW'!F$4)/($E$4+'TCO TO BE - HW'!$E$4)*SUM(POZICIE_INTERNE!$I$40:$I$51))/POZICIE_INTERNE!$B$40*12,IF((POZICIE_INTERNE!$B$40-12*('TCO TO BE- SW'!$D154-1))&lt;0,0,(POZICIE_INTERNE!$B$40-12*('TCO TO BE- SW'!$D154-1))*((F$4+'TCO TO BE - HW'!F$4)/($E$4+'TCO TO BE - HW'!$E$4)*SUM(POZICIE_INTERNE!$I$40:$I$51))/POZICIE_INTERNE!$B$40)),0)+IFERROR(IF((EXTERNE_POZICIE!$B$41-12*('TCO TO BE- SW'!$D154-1))&gt;12,((F$4+'TCO TO BE - HW'!F$4)/($E$4+'TCO TO BE - HW'!$E$4)*SUM(EXTERNE_POZICIE!$M$41:$M$52)*1.23)/EXTERNE_POZICIE!$B$41*12,IF((EXTERNE_POZICIE!$B$41-12*('TCO TO BE- SW'!$D154-1))&lt;0,0,(EXTERNE_POZICIE!$B$41-12*('TCO TO BE- SW'!$D154-1))*((F$4+'TCO TO BE - HW'!F$4)/($E$4+'TCO TO BE - HW'!$E$4)*SUM(EXTERNE_POZICIE!$M$41:$M$52)*1.23)/EXTERNE_POZICIE!$B$41)),0)+IFERROR(SUM(#REF!)*'TCO TO BE- SW'!F$4/'TCO TO BE- SW'!$E$4,0)</f>
        <v>0</v>
      </c>
      <c r="G154" s="565">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HW'!$E$4)*SUM(POZICIE_INTERNE!$I$40:$I$51))/POZICIE_INTERNE!$B$40)),0)+IFERROR(IF((EXTERNE_POZICIE!$B$41-12*('TCO TO BE- SW'!$D154-1))&gt;12,((G$4+'TCO TO BE - HW'!G$4)/($E$4+'TCO TO BE - HW'!$E$4)*SUM(EXTERNE_POZICIE!$M$41:$M$52)*1.23)/EXTERNE_POZICIE!$B$41*12,IF((EXTERNE_POZICIE!$B$41-12*('TCO TO BE- SW'!$D154-1))&lt;0,0,(EXTERNE_POZICIE!$B$41-12*('TCO TO BE- SW'!$D154-1))*((G$4+'TCO TO BE - HW'!G$4)/($E$4+'TCO TO BE - HW'!$E$4)*SUM(EXTERNE_POZICIE!$M$41:$M$52)*1.23)/EXTERNE_POZICIE!$B$41)),0)+IFERROR(SUM(#REF!)*'TCO TO BE- SW'!G$4/'TCO TO BE- SW'!$E$4,0)</f>
        <v>0</v>
      </c>
      <c r="H154" s="565">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HW'!$E$4)*SUM(POZICIE_INTERNE!$I$40:$I$51))/POZICIE_INTERNE!$B$40)),0)+IFERROR(IF((EXTERNE_POZICIE!$B$41-12*('TCO TO BE- SW'!$D154-1))&gt;12,((H$4+'TCO TO BE - HW'!H$4)/($E$4+'TCO TO BE - HW'!$E$4)*SUM(EXTERNE_POZICIE!$M$41:$M$52)*1.23)/EXTERNE_POZICIE!$B$41*12,IF((EXTERNE_POZICIE!$B$41-12*('TCO TO BE- SW'!$D154-1))&lt;0,0,(EXTERNE_POZICIE!$B$41-12*('TCO TO BE- SW'!$D154-1))*((H$4+'TCO TO BE - HW'!H$4)/($E$4+'TCO TO BE - HW'!$E$4)*SUM(EXTERNE_POZICIE!$M$41:$M$52)*1.23)/EXTERNE_POZICIE!$B$41)),0)+IFERROR(SUM(#REF!)*'TCO TO BE- SW'!H$4/'TCO TO BE- SW'!$E$4,0)</f>
        <v>0</v>
      </c>
      <c r="I154" s="565">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HW'!$E$4)*SUM(POZICIE_INTERNE!$I$40:$I$51))/POZICIE_INTERNE!$B$40)),0)+IFERROR(IF((EXTERNE_POZICIE!$B$41-12*('TCO TO BE- SW'!$D154-1))&gt;12,((I$4+'TCO TO BE - HW'!I$4)/($E$4+'TCO TO BE - HW'!$E$4)*SUM(EXTERNE_POZICIE!$M$41:$M$52)*1.23)/EXTERNE_POZICIE!$B$41*12,IF((EXTERNE_POZICIE!$B$41-12*('TCO TO BE- SW'!$D154-1))&lt;0,0,(EXTERNE_POZICIE!$B$41-12*('TCO TO BE- SW'!$D154-1))*((I$4+'TCO TO BE - HW'!I$4)/($E$4+'TCO TO BE - HW'!$E$4)*SUM(EXTERNE_POZICIE!$M$41:$M$52)*1.23)/EXTERNE_POZICIE!$B$41)),0)+IFERROR(SUM(#REF!)*'TCO TO BE- SW'!I$4/'TCO TO BE- SW'!$E$4,0)</f>
        <v>0</v>
      </c>
      <c r="J154" s="565">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HW'!$E$4)*SUM(POZICIE_INTERNE!$I$40:$I$51))/POZICIE_INTERNE!$B$40)),0)+IFERROR(IF((EXTERNE_POZICIE!$B$41-12*('TCO TO BE- SW'!$D154-1))&gt;12,((J$4+'TCO TO BE - HW'!J$4)/($E$4+'TCO TO BE - HW'!$E$4)*SUM(EXTERNE_POZICIE!$M$41:$M$52)*1.23)/EXTERNE_POZICIE!$B$41*12,IF((EXTERNE_POZICIE!$B$41-12*('TCO TO BE- SW'!$D154-1))&lt;0,0,(EXTERNE_POZICIE!$B$41-12*('TCO TO BE- SW'!$D154-1))*((J$4+'TCO TO BE - HW'!J$4)/($E$4+'TCO TO BE - HW'!$E$4)*SUM(EXTERNE_POZICIE!$M$41:$M$52)*1.23)/EXTERNE_POZICIE!$B$41)),0)+IFERROR(SUM(#REF!)*'TCO TO BE- SW'!J$4/'TCO TO BE- SW'!$E$4,0)</f>
        <v>0</v>
      </c>
      <c r="K154" s="565">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HW'!$E$4)*SUM(POZICIE_INTERNE!$I$40:$I$51))/POZICIE_INTERNE!$B$40)),0)+IFERROR(IF((EXTERNE_POZICIE!$B$41-12*('TCO TO BE- SW'!$D154-1))&gt;12,((K$4+'TCO TO BE - HW'!K$4)/($E$4+'TCO TO BE - HW'!$E$4)*SUM(EXTERNE_POZICIE!$M$41:$M$52)*1.23)/EXTERNE_POZICIE!$B$41*12,IF((EXTERNE_POZICIE!$B$41-12*('TCO TO BE- SW'!$D154-1))&lt;0,0,(EXTERNE_POZICIE!$B$41-12*('TCO TO BE- SW'!$D154-1))*((K$4+'TCO TO BE - HW'!K$4)/($E$4+'TCO TO BE - HW'!$E$4)*SUM(EXTERNE_POZICIE!$M$41:$M$52)*1.23)/EXTERNE_POZICIE!$B$41)),0)+IFERROR(SUM(#REF!)*'TCO TO BE- SW'!K$4/'TCO TO BE- SW'!$E$4,0)</f>
        <v>0</v>
      </c>
      <c r="L154" s="565">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HW'!$E$4)*SUM(POZICIE_INTERNE!$I$40:$I$51))/POZICIE_INTERNE!$B$40)),0)+IFERROR(IF((EXTERNE_POZICIE!$B$41-12*('TCO TO BE- SW'!$D154-1))&gt;12,((L$4+'TCO TO BE - HW'!L$4)/($E$4+'TCO TO BE - HW'!$E$4)*SUM(EXTERNE_POZICIE!$M$41:$M$52)*1.23)/EXTERNE_POZICIE!$B$41*12,IF((EXTERNE_POZICIE!$B$41-12*('TCO TO BE- SW'!$D154-1))&lt;0,0,(EXTERNE_POZICIE!$B$41-12*('TCO TO BE- SW'!$D154-1))*((L$4+'TCO TO BE - HW'!L$4)/($E$4+'TCO TO BE - HW'!$E$4)*SUM(EXTERNE_POZICIE!$M$41:$M$52)*1.23)/EXTERNE_POZICIE!$B$41)),0)+IFERROR(SUM(#REF!)*'TCO TO BE- SW'!L$4/'TCO TO BE- SW'!$E$4,0)</f>
        <v>0</v>
      </c>
      <c r="M154" s="565">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HW'!$E$4)*SUM(POZICIE_INTERNE!$I$40:$I$51))/POZICIE_INTERNE!$B$40)),0)+IFERROR(IF((EXTERNE_POZICIE!$B$41-12*('TCO TO BE- SW'!$D154-1))&gt;12,((M$4+'TCO TO BE - HW'!M$4)/($E$4+'TCO TO BE - HW'!$E$4)*SUM(EXTERNE_POZICIE!$M$41:$M$52)*1.23)/EXTERNE_POZICIE!$B$41*12,IF((EXTERNE_POZICIE!$B$41-12*('TCO TO BE- SW'!$D154-1))&lt;0,0,(EXTERNE_POZICIE!$B$41-12*('TCO TO BE- SW'!$D154-1))*((M$4+'TCO TO BE - HW'!M$4)/($E$4+'TCO TO BE - HW'!$E$4)*SUM(EXTERNE_POZICIE!$M$41:$M$52)*1.23)/EXTERNE_POZICIE!$B$41)),0)+IFERROR(SUM(#REF!)*'TCO TO BE- SW'!M$4/'TCO TO BE- SW'!$E$4,0)</f>
        <v>0</v>
      </c>
      <c r="N154" s="565">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HW'!$E$4)*SUM(POZICIE_INTERNE!$I$40:$I$51))/POZICIE_INTERNE!$B$40)),0)+IFERROR(IF((EXTERNE_POZICIE!$B$41-12*('TCO TO BE- SW'!$D154-1))&gt;12,((N$4+'TCO TO BE - HW'!N$4)/($E$4+'TCO TO BE - HW'!$E$4)*SUM(EXTERNE_POZICIE!$M$41:$M$52)*1.23)/EXTERNE_POZICIE!$B$41*12,IF((EXTERNE_POZICIE!$B$41-12*('TCO TO BE- SW'!$D154-1))&lt;0,0,(EXTERNE_POZICIE!$B$41-12*('TCO TO BE- SW'!$D154-1))*((N$4+'TCO TO BE - HW'!N$4)/($E$4+'TCO TO BE - HW'!$E$4)*SUM(EXTERNE_POZICIE!$M$41:$M$52)*1.23)/EXTERNE_POZICIE!$B$41)),0)+IFERROR(SUM(#REF!)*'TCO TO BE- SW'!N$4/'TCO TO BE- SW'!$E$4,0)</f>
        <v>0</v>
      </c>
      <c r="O154" s="565">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HW'!$E$4)*SUM(POZICIE_INTERNE!$I$40:$I$51))/POZICIE_INTERNE!$B$40)),0)+IFERROR(IF((EXTERNE_POZICIE!$B$41-12*('TCO TO BE- SW'!$D154-1))&gt;12,((O$4+'TCO TO BE - HW'!O$4)/($E$4+'TCO TO BE - HW'!$E$4)*SUM(EXTERNE_POZICIE!$M$41:$M$52)*1.23)/EXTERNE_POZICIE!$B$41*12,IF((EXTERNE_POZICIE!$B$41-12*('TCO TO BE- SW'!$D154-1))&lt;0,0,(EXTERNE_POZICIE!$B$41-12*('TCO TO BE- SW'!$D154-1))*((O$4+'TCO TO BE - HW'!O$4)/($E$4+'TCO TO BE - HW'!$E$4)*SUM(EXTERNE_POZICIE!$M$41:$M$52)*1.23)/EXTERNE_POZICIE!$B$41)),0)+IFERROR(SUM(#REF!)*'TCO TO BE- SW'!O$4/'TCO TO BE- SW'!$E$4,0)</f>
        <v>0</v>
      </c>
      <c r="P154" s="565">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HW'!$E$4)*SUM(POZICIE_INTERNE!$I$40:$I$51))/POZICIE_INTERNE!$B$40)),0)+IFERROR(IF((EXTERNE_POZICIE!$B$41-12*('TCO TO BE- SW'!$D154-1))&gt;12,((P$4+'TCO TO BE - HW'!P$4)/($E$4+'TCO TO BE - HW'!$E$4)*SUM(EXTERNE_POZICIE!$M$41:$M$52)*1.23)/EXTERNE_POZICIE!$B$41*12,IF((EXTERNE_POZICIE!$B$41-12*('TCO TO BE- SW'!$D154-1))&lt;0,0,(EXTERNE_POZICIE!$B$41-12*('TCO TO BE- SW'!$D154-1))*((P$4+'TCO TO BE - HW'!P$4)/($E$4+'TCO TO BE - HW'!$E$4)*SUM(EXTERNE_POZICIE!$M$41:$M$52)*1.23)/EXTERNE_POZICIE!$B$41)),0)+IFERROR(SUM(#REF!)*'TCO TO BE- SW'!P$4/'TCO TO BE- SW'!$E$4,0)</f>
        <v>0</v>
      </c>
      <c r="Q154" s="565">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HW'!$E$4)*SUM(POZICIE_INTERNE!$I$40:$I$51))/POZICIE_INTERNE!$B$40)),0)+IFERROR(IF((EXTERNE_POZICIE!$B$41-12*('TCO TO BE- SW'!$D154-1))&gt;12,((Q$4+'TCO TO BE - HW'!Q$4)/($E$4+'TCO TO BE - HW'!$E$4)*SUM(EXTERNE_POZICIE!$M$41:$M$52)*1.23)/EXTERNE_POZICIE!$B$41*12,IF((EXTERNE_POZICIE!$B$41-12*('TCO TO BE- SW'!$D154-1))&lt;0,0,(EXTERNE_POZICIE!$B$41-12*('TCO TO BE- SW'!$D154-1))*((Q$4+'TCO TO BE - HW'!Q$4)/($E$4+'TCO TO BE - HW'!$E$4)*SUM(EXTERNE_POZICIE!$M$41:$M$52)*1.23)/EXTERNE_POZICIE!$B$41)),0)+IFERROR(SUM(#REF!)*'TCO TO BE- SW'!Q$4/'TCO TO BE- SW'!$E$4,0)</f>
        <v>0</v>
      </c>
      <c r="R154" s="565">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HW'!$E$4)*SUM(POZICIE_INTERNE!$I$40:$I$51))/POZICIE_INTERNE!$B$40)),0)+IFERROR(IF((EXTERNE_POZICIE!$B$41-12*('TCO TO BE- SW'!$D154-1))&gt;12,((R$4+'TCO TO BE - HW'!R$4)/($E$4+'TCO TO BE - HW'!$E$4)*SUM(EXTERNE_POZICIE!$M$41:$M$52)*1.23)/EXTERNE_POZICIE!$B$41*12,IF((EXTERNE_POZICIE!$B$41-12*('TCO TO BE- SW'!$D154-1))&lt;0,0,(EXTERNE_POZICIE!$B$41-12*('TCO TO BE- SW'!$D154-1))*((R$4+'TCO TO BE - HW'!R$4)/($E$4+'TCO TO BE - HW'!$E$4)*SUM(EXTERNE_POZICIE!$M$41:$M$52)*1.23)/EXTERNE_POZICIE!$B$41)),0)+IFERROR(SUM(#REF!)*'TCO TO BE- SW'!R$4/'TCO TO BE- SW'!$E$4,0)</f>
        <v>0</v>
      </c>
      <c r="S154" s="565">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HW'!$E$4)*SUM(POZICIE_INTERNE!$I$40:$I$51))/POZICIE_INTERNE!$B$40)),0)+IFERROR(IF((EXTERNE_POZICIE!$B$41-12*('TCO TO BE- SW'!$D154-1))&gt;12,((S$4+'TCO TO BE - HW'!S$4)/($E$4+'TCO TO BE - HW'!$E$4)*SUM(EXTERNE_POZICIE!$M$41:$M$52)*1.23)/EXTERNE_POZICIE!$B$41*12,IF((EXTERNE_POZICIE!$B$41-12*('TCO TO BE- SW'!$D154-1))&lt;0,0,(EXTERNE_POZICIE!$B$41-12*('TCO TO BE- SW'!$D154-1))*((S$4+'TCO TO BE - HW'!S$4)/($E$4+'TCO TO BE - HW'!$E$4)*SUM(EXTERNE_POZICIE!$M$41:$M$52)*1.23)/EXTERNE_POZICIE!$B$41)),0)+IFERROR(SUM(#REF!)*'TCO TO BE- SW'!S$4/'TCO TO BE- SW'!$E$4,0)</f>
        <v>0</v>
      </c>
      <c r="T154" s="565">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HW'!$E$4)*SUM(POZICIE_INTERNE!$I$40:$I$51))/POZICIE_INTERNE!$B$40)),0)+IFERROR(IF((EXTERNE_POZICIE!$B$41-12*('TCO TO BE- SW'!$D154-1))&gt;12,((T$4+'TCO TO BE - HW'!T$4)/($E$4+'TCO TO BE - HW'!$E$4)*SUM(EXTERNE_POZICIE!$M$41:$M$52)*1.23)/EXTERNE_POZICIE!$B$41*12,IF((EXTERNE_POZICIE!$B$41-12*('TCO TO BE- SW'!$D154-1))&lt;0,0,(EXTERNE_POZICIE!$B$41-12*('TCO TO BE- SW'!$D154-1))*((T$4+'TCO TO BE - HW'!T$4)/($E$4+'TCO TO BE - HW'!$E$4)*SUM(EXTERNE_POZICIE!$M$41:$M$52)*1.23)/EXTERNE_POZICIE!$B$41)),0)+IFERROR(SUM(#REF!)*'TCO TO BE- SW'!T$4/'TCO TO BE- SW'!$E$4,0)</f>
        <v>0</v>
      </c>
      <c r="U154" s="565">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HW'!$E$4)*SUM(POZICIE_INTERNE!$I$40:$I$51))/POZICIE_INTERNE!$B$40)),0)+IFERROR(IF((EXTERNE_POZICIE!$B$41-12*('TCO TO BE- SW'!$D154-1))&gt;12,((U$4+'TCO TO BE - HW'!U$4)/($E$4+'TCO TO BE - HW'!$E$4)*SUM(EXTERNE_POZICIE!$M$41:$M$52)*1.23)/EXTERNE_POZICIE!$B$41*12,IF((EXTERNE_POZICIE!$B$41-12*('TCO TO BE- SW'!$D154-1))&lt;0,0,(EXTERNE_POZICIE!$B$41-12*('TCO TO BE- SW'!$D154-1))*((U$4+'TCO TO BE - HW'!U$4)/($E$4+'TCO TO BE - HW'!$E$4)*SUM(EXTERNE_POZICIE!$M$41:$M$52)*1.23)/EXTERNE_POZICIE!$B$41)),0)+IFERROR(SUM(#REF!)*'TCO TO BE- SW'!U$4/'TCO TO BE- SW'!$E$4,0)</f>
        <v>0</v>
      </c>
      <c r="V154" s="565">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HW'!$E$4)*SUM(POZICIE_INTERNE!$I$40:$I$51))/POZICIE_INTERNE!$B$40)),0)+IFERROR(IF((EXTERNE_POZICIE!$B$41-12*('TCO TO BE- SW'!$D154-1))&gt;12,((V$4+'TCO TO BE - HW'!V$4)/($E$4+'TCO TO BE - HW'!$E$4)*SUM(EXTERNE_POZICIE!$M$41:$M$52)*1.23)/EXTERNE_POZICIE!$B$41*12,IF((EXTERNE_POZICIE!$B$41-12*('TCO TO BE- SW'!$D154-1))&lt;0,0,(EXTERNE_POZICIE!$B$41-12*('TCO TO BE- SW'!$D154-1))*((V$4+'TCO TO BE - HW'!V$4)/($E$4+'TCO TO BE - HW'!$E$4)*SUM(EXTERNE_POZICIE!$M$41:$M$52)*1.23)/EXTERNE_POZICIE!$B$41)),0)+IFERROR(SUM(#REF!)*'TCO TO BE- SW'!V$4/'TCO TO BE- SW'!$E$4,0)</f>
        <v>0</v>
      </c>
      <c r="W154" s="565">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HW'!$E$4)*SUM(POZICIE_INTERNE!$I$40:$I$51))/POZICIE_INTERNE!$B$40)),0)+IFERROR(IF((EXTERNE_POZICIE!$B$41-12*('TCO TO BE- SW'!$D154-1))&gt;12,((W$4+'TCO TO BE - HW'!W$4)/($E$4+'TCO TO BE - HW'!$E$4)*SUM(EXTERNE_POZICIE!$M$41:$M$52)*1.23)/EXTERNE_POZICIE!$B$41*12,IF((EXTERNE_POZICIE!$B$41-12*('TCO TO BE- SW'!$D154-1))&lt;0,0,(EXTERNE_POZICIE!$B$41-12*('TCO TO BE- SW'!$D154-1))*((W$4+'TCO TO BE - HW'!W$4)/($E$4+'TCO TO BE - HW'!$E$4)*SUM(EXTERNE_POZICIE!$M$41:$M$52)*1.23)/EXTERNE_POZICIE!$B$41)),0)+IFERROR(SUM(#REF!)*'TCO TO BE- SW'!W$4/'TCO TO BE- SW'!$E$4,0)</f>
        <v>0</v>
      </c>
      <c r="X154" s="565">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HW'!$E$4)*SUM(POZICIE_INTERNE!$I$40:$I$51))/POZICIE_INTERNE!$B$40)),0)+IFERROR(IF((EXTERNE_POZICIE!$B$41-12*('TCO TO BE- SW'!$D154-1))&gt;12,((X$4+'TCO TO BE - HW'!X$4)/($E$4+'TCO TO BE - HW'!$E$4)*SUM(EXTERNE_POZICIE!$M$41:$M$52)*1.23)/EXTERNE_POZICIE!$B$41*12,IF((EXTERNE_POZICIE!$B$41-12*('TCO TO BE- SW'!$D154-1))&lt;0,0,(EXTERNE_POZICIE!$B$41-12*('TCO TO BE- SW'!$D154-1))*((X$4+'TCO TO BE - HW'!X$4)/($E$4+'TCO TO BE - HW'!$E$4)*SUM(EXTERNE_POZICIE!$M$41:$M$52)*1.23)/EXTERNE_POZICIE!$B$41)),0)+IFERROR(SUM(#REF!)*'TCO TO BE- SW'!X$4/'TCO TO BE- SW'!$E$4,0)</f>
        <v>0</v>
      </c>
      <c r="Y154" s="565">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HW'!$E$4)*SUM(POZICIE_INTERNE!$I$40:$I$51))/POZICIE_INTERNE!$B$40)),0)+IFERROR(IF((EXTERNE_POZICIE!$B$41-12*('TCO TO BE- SW'!$D154-1))&gt;12,((Y$4+'TCO TO BE - HW'!Y$4)/($E$4+'TCO TO BE - HW'!$E$4)*SUM(EXTERNE_POZICIE!$M$41:$M$52)*1.23)/EXTERNE_POZICIE!$B$41*12,IF((EXTERNE_POZICIE!$B$41-12*('TCO TO BE- SW'!$D154-1))&lt;0,0,(EXTERNE_POZICIE!$B$41-12*('TCO TO BE- SW'!$D154-1))*((Y$4+'TCO TO BE - HW'!Y$4)/($E$4+'TCO TO BE - HW'!$E$4)*SUM(EXTERNE_POZICIE!$M$41:$M$52)*1.23)/EXTERNE_POZICIE!$B$41)),0)+IFERROR(SUM(#REF!)*'TCO TO BE- SW'!Y$4/'TCO TO BE- SW'!$E$4,0)</f>
        <v>0</v>
      </c>
      <c r="Z154" s="565">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HW'!$E$4)*SUM(POZICIE_INTERNE!$I$40:$I$51))/POZICIE_INTERNE!$B$40)),0)+IFERROR(IF((EXTERNE_POZICIE!$B$41-12*('TCO TO BE- SW'!$D154-1))&gt;12,((Z$4+'TCO TO BE - HW'!Z$4)/($E$4+'TCO TO BE - HW'!$E$4)*SUM(EXTERNE_POZICIE!$M$41:$M$52)*1.23)/EXTERNE_POZICIE!$B$41*12,IF((EXTERNE_POZICIE!$B$41-12*('TCO TO BE- SW'!$D154-1))&lt;0,0,(EXTERNE_POZICIE!$B$41-12*('TCO TO BE- SW'!$D154-1))*((Z$4+'TCO TO BE - HW'!Z$4)/($E$4+'TCO TO BE - HW'!$E$4)*SUM(EXTERNE_POZICIE!$M$41:$M$52)*1.23)/EXTERNE_POZICIE!$B$41)),0)+IFERROR(SUM(#REF!)*'TCO TO BE- SW'!Z$4/'TCO TO BE- SW'!$E$4,0)</f>
        <v>0</v>
      </c>
    </row>
    <row r="155" spans="1:26">
      <c r="A155" s="807"/>
      <c r="B155" s="808"/>
      <c r="C155" s="808"/>
      <c r="D155" s="64">
        <v>5</v>
      </c>
      <c r="E155" s="68">
        <f t="shared" si="16"/>
        <v>0</v>
      </c>
      <c r="F155" s="565">
        <f>IFERROR(IF((POZICIE_INTERNE!$B$40-12*('TCO TO BE- SW'!$D155-1))&gt;12,((F$4+'TCO TO BE - HW'!F$4)/($E$4+'TCO TO BE - HW'!$E$4)*SUM(POZICIE_INTERNE!$I$40:$I$51))/POZICIE_INTERNE!$B$40*12,IF((POZICIE_INTERNE!$B$40-12*('TCO TO BE- SW'!$D155-1))&lt;0,0,(POZICIE_INTERNE!$B$40-12*('TCO TO BE- SW'!$D155-1))*((F$4+'TCO TO BE - HW'!F$4)/($E$4+'TCO TO BE - HW'!$E$4)*SUM(POZICIE_INTERNE!$I$40:$I$51))/POZICIE_INTERNE!$B$40)),0)+IFERROR(IF((EXTERNE_POZICIE!$B$41-12*('TCO TO BE- SW'!$D155-1))&gt;12,((F$4+'TCO TO BE - HW'!F$4)/($E$4+'TCO TO BE - HW'!$E$4)*SUM(EXTERNE_POZICIE!$M$41:$M$52)*1.23)/EXTERNE_POZICIE!$B$41*12,IF((EXTERNE_POZICIE!$B$41-12*('TCO TO BE- SW'!$D155-1))&lt;0,0,(EXTERNE_POZICIE!$B$41-12*('TCO TO BE- SW'!$D155-1))*((F$4+'TCO TO BE - HW'!F$4)/($E$4+'TCO TO BE - HW'!$E$4)*SUM(EXTERNE_POZICIE!$M$41:$M$52)*1.23)/EXTERNE_POZICIE!$B$41)),0)+IFERROR(SUM(#REF!)*'TCO TO BE- SW'!F$4/'TCO TO BE- SW'!$E$4,0)</f>
        <v>0</v>
      </c>
      <c r="G155" s="565">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HW'!$E$4)*SUM(POZICIE_INTERNE!$I$40:$I$51))/POZICIE_INTERNE!$B$40)),0)+IFERROR(IF((EXTERNE_POZICIE!$B$41-12*('TCO TO BE- SW'!$D155-1))&gt;12,((G$4+'TCO TO BE - HW'!G$4)/($E$4+'TCO TO BE - HW'!$E$4)*SUM(EXTERNE_POZICIE!$M$41:$M$52)*1.23)/EXTERNE_POZICIE!$B$41*12,IF((EXTERNE_POZICIE!$B$41-12*('TCO TO BE- SW'!$D155-1))&lt;0,0,(EXTERNE_POZICIE!$B$41-12*('TCO TO BE- SW'!$D155-1))*((G$4+'TCO TO BE - HW'!G$4)/($E$4+'TCO TO BE - HW'!$E$4)*SUM(EXTERNE_POZICIE!$M$41:$M$52)*1.23)/EXTERNE_POZICIE!$B$41)),0)+IFERROR(SUM(#REF!)*'TCO TO BE- SW'!G$4/'TCO TO BE- SW'!$E$4,0)</f>
        <v>0</v>
      </c>
      <c r="H155" s="565">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HW'!$E$4)*SUM(POZICIE_INTERNE!$I$40:$I$51))/POZICIE_INTERNE!$B$40)),0)+IFERROR(IF((EXTERNE_POZICIE!$B$41-12*('TCO TO BE- SW'!$D155-1))&gt;12,((H$4+'TCO TO BE - HW'!H$4)/($E$4+'TCO TO BE - HW'!$E$4)*SUM(EXTERNE_POZICIE!$M$41:$M$52)*1.23)/EXTERNE_POZICIE!$B$41*12,IF((EXTERNE_POZICIE!$B$41-12*('TCO TO BE- SW'!$D155-1))&lt;0,0,(EXTERNE_POZICIE!$B$41-12*('TCO TO BE- SW'!$D155-1))*((H$4+'TCO TO BE - HW'!H$4)/($E$4+'TCO TO BE - HW'!$E$4)*SUM(EXTERNE_POZICIE!$M$41:$M$52)*1.23)/EXTERNE_POZICIE!$B$41)),0)+IFERROR(SUM(#REF!)*'TCO TO BE- SW'!H$4/'TCO TO BE- SW'!$E$4,0)</f>
        <v>0</v>
      </c>
      <c r="I155" s="565">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HW'!$E$4)*SUM(POZICIE_INTERNE!$I$40:$I$51))/POZICIE_INTERNE!$B$40)),0)+IFERROR(IF((EXTERNE_POZICIE!$B$41-12*('TCO TO BE- SW'!$D155-1))&gt;12,((I$4+'TCO TO BE - HW'!I$4)/($E$4+'TCO TO BE - HW'!$E$4)*SUM(EXTERNE_POZICIE!$M$41:$M$52)*1.23)/EXTERNE_POZICIE!$B$41*12,IF((EXTERNE_POZICIE!$B$41-12*('TCO TO BE- SW'!$D155-1))&lt;0,0,(EXTERNE_POZICIE!$B$41-12*('TCO TO BE- SW'!$D155-1))*((I$4+'TCO TO BE - HW'!I$4)/($E$4+'TCO TO BE - HW'!$E$4)*SUM(EXTERNE_POZICIE!$M$41:$M$52)*1.23)/EXTERNE_POZICIE!$B$41)),0)+IFERROR(SUM(#REF!)*'TCO TO BE- SW'!I$4/'TCO TO BE- SW'!$E$4,0)</f>
        <v>0</v>
      </c>
      <c r="J155" s="565">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HW'!$E$4)*SUM(POZICIE_INTERNE!$I$40:$I$51))/POZICIE_INTERNE!$B$40)),0)+IFERROR(IF((EXTERNE_POZICIE!$B$41-12*('TCO TO BE- SW'!$D155-1))&gt;12,((J$4+'TCO TO BE - HW'!J$4)/($E$4+'TCO TO BE - HW'!$E$4)*SUM(EXTERNE_POZICIE!$M$41:$M$52)*1.23)/EXTERNE_POZICIE!$B$41*12,IF((EXTERNE_POZICIE!$B$41-12*('TCO TO BE- SW'!$D155-1))&lt;0,0,(EXTERNE_POZICIE!$B$41-12*('TCO TO BE- SW'!$D155-1))*((J$4+'TCO TO BE - HW'!J$4)/($E$4+'TCO TO BE - HW'!$E$4)*SUM(EXTERNE_POZICIE!$M$41:$M$52)*1.23)/EXTERNE_POZICIE!$B$41)),0)+IFERROR(SUM(#REF!)*'TCO TO BE- SW'!J$4/'TCO TO BE- SW'!$E$4,0)</f>
        <v>0</v>
      </c>
      <c r="K155" s="565">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HW'!$E$4)*SUM(POZICIE_INTERNE!$I$40:$I$51))/POZICIE_INTERNE!$B$40)),0)+IFERROR(IF((EXTERNE_POZICIE!$B$41-12*('TCO TO BE- SW'!$D155-1))&gt;12,((K$4+'TCO TO BE - HW'!K$4)/($E$4+'TCO TO BE - HW'!$E$4)*SUM(EXTERNE_POZICIE!$M$41:$M$52)*1.23)/EXTERNE_POZICIE!$B$41*12,IF((EXTERNE_POZICIE!$B$41-12*('TCO TO BE- SW'!$D155-1))&lt;0,0,(EXTERNE_POZICIE!$B$41-12*('TCO TO BE- SW'!$D155-1))*((K$4+'TCO TO BE - HW'!K$4)/($E$4+'TCO TO BE - HW'!$E$4)*SUM(EXTERNE_POZICIE!$M$41:$M$52)*1.23)/EXTERNE_POZICIE!$B$41)),0)+IFERROR(SUM(#REF!)*'TCO TO BE- SW'!K$4/'TCO TO BE- SW'!$E$4,0)</f>
        <v>0</v>
      </c>
      <c r="L155" s="565">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HW'!$E$4)*SUM(POZICIE_INTERNE!$I$40:$I$51))/POZICIE_INTERNE!$B$40)),0)+IFERROR(IF((EXTERNE_POZICIE!$B$41-12*('TCO TO BE- SW'!$D155-1))&gt;12,((L$4+'TCO TO BE - HW'!L$4)/($E$4+'TCO TO BE - HW'!$E$4)*SUM(EXTERNE_POZICIE!$M$41:$M$52)*1.23)/EXTERNE_POZICIE!$B$41*12,IF((EXTERNE_POZICIE!$B$41-12*('TCO TO BE- SW'!$D155-1))&lt;0,0,(EXTERNE_POZICIE!$B$41-12*('TCO TO BE- SW'!$D155-1))*((L$4+'TCO TO BE - HW'!L$4)/($E$4+'TCO TO BE - HW'!$E$4)*SUM(EXTERNE_POZICIE!$M$41:$M$52)*1.23)/EXTERNE_POZICIE!$B$41)),0)+IFERROR(SUM(#REF!)*'TCO TO BE- SW'!L$4/'TCO TO BE- SW'!$E$4,0)</f>
        <v>0</v>
      </c>
      <c r="M155" s="565">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HW'!$E$4)*SUM(POZICIE_INTERNE!$I$40:$I$51))/POZICIE_INTERNE!$B$40)),0)+IFERROR(IF((EXTERNE_POZICIE!$B$41-12*('TCO TO BE- SW'!$D155-1))&gt;12,((M$4+'TCO TO BE - HW'!M$4)/($E$4+'TCO TO BE - HW'!$E$4)*SUM(EXTERNE_POZICIE!$M$41:$M$52)*1.23)/EXTERNE_POZICIE!$B$41*12,IF((EXTERNE_POZICIE!$B$41-12*('TCO TO BE- SW'!$D155-1))&lt;0,0,(EXTERNE_POZICIE!$B$41-12*('TCO TO BE- SW'!$D155-1))*((M$4+'TCO TO BE - HW'!M$4)/($E$4+'TCO TO BE - HW'!$E$4)*SUM(EXTERNE_POZICIE!$M$41:$M$52)*1.23)/EXTERNE_POZICIE!$B$41)),0)+IFERROR(SUM(#REF!)*'TCO TO BE- SW'!M$4/'TCO TO BE- SW'!$E$4,0)</f>
        <v>0</v>
      </c>
      <c r="N155" s="565">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HW'!$E$4)*SUM(POZICIE_INTERNE!$I$40:$I$51))/POZICIE_INTERNE!$B$40)),0)+IFERROR(IF((EXTERNE_POZICIE!$B$41-12*('TCO TO BE- SW'!$D155-1))&gt;12,((N$4+'TCO TO BE - HW'!N$4)/($E$4+'TCO TO BE - HW'!$E$4)*SUM(EXTERNE_POZICIE!$M$41:$M$52)*1.23)/EXTERNE_POZICIE!$B$41*12,IF((EXTERNE_POZICIE!$B$41-12*('TCO TO BE- SW'!$D155-1))&lt;0,0,(EXTERNE_POZICIE!$B$41-12*('TCO TO BE- SW'!$D155-1))*((N$4+'TCO TO BE - HW'!N$4)/($E$4+'TCO TO BE - HW'!$E$4)*SUM(EXTERNE_POZICIE!$M$41:$M$52)*1.23)/EXTERNE_POZICIE!$B$41)),0)+IFERROR(SUM(#REF!)*'TCO TO BE- SW'!N$4/'TCO TO BE- SW'!$E$4,0)</f>
        <v>0</v>
      </c>
      <c r="O155" s="565">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HW'!$E$4)*SUM(POZICIE_INTERNE!$I$40:$I$51))/POZICIE_INTERNE!$B$40)),0)+IFERROR(IF((EXTERNE_POZICIE!$B$41-12*('TCO TO BE- SW'!$D155-1))&gt;12,((O$4+'TCO TO BE - HW'!O$4)/($E$4+'TCO TO BE - HW'!$E$4)*SUM(EXTERNE_POZICIE!$M$41:$M$52)*1.23)/EXTERNE_POZICIE!$B$41*12,IF((EXTERNE_POZICIE!$B$41-12*('TCO TO BE- SW'!$D155-1))&lt;0,0,(EXTERNE_POZICIE!$B$41-12*('TCO TO BE- SW'!$D155-1))*((O$4+'TCO TO BE - HW'!O$4)/($E$4+'TCO TO BE - HW'!$E$4)*SUM(EXTERNE_POZICIE!$M$41:$M$52)*1.23)/EXTERNE_POZICIE!$B$41)),0)+IFERROR(SUM(#REF!)*'TCO TO BE- SW'!O$4/'TCO TO BE- SW'!$E$4,0)</f>
        <v>0</v>
      </c>
      <c r="P155" s="565">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HW'!$E$4)*SUM(POZICIE_INTERNE!$I$40:$I$51))/POZICIE_INTERNE!$B$40)),0)+IFERROR(IF((EXTERNE_POZICIE!$B$41-12*('TCO TO BE- SW'!$D155-1))&gt;12,((P$4+'TCO TO BE - HW'!P$4)/($E$4+'TCO TO BE - HW'!$E$4)*SUM(EXTERNE_POZICIE!$M$41:$M$52)*1.23)/EXTERNE_POZICIE!$B$41*12,IF((EXTERNE_POZICIE!$B$41-12*('TCO TO BE- SW'!$D155-1))&lt;0,0,(EXTERNE_POZICIE!$B$41-12*('TCO TO BE- SW'!$D155-1))*((P$4+'TCO TO BE - HW'!P$4)/($E$4+'TCO TO BE - HW'!$E$4)*SUM(EXTERNE_POZICIE!$M$41:$M$52)*1.23)/EXTERNE_POZICIE!$B$41)),0)+IFERROR(SUM(#REF!)*'TCO TO BE- SW'!P$4/'TCO TO BE- SW'!$E$4,0)</f>
        <v>0</v>
      </c>
      <c r="Q155" s="565">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HW'!$E$4)*SUM(POZICIE_INTERNE!$I$40:$I$51))/POZICIE_INTERNE!$B$40)),0)+IFERROR(IF((EXTERNE_POZICIE!$B$41-12*('TCO TO BE- SW'!$D155-1))&gt;12,((Q$4+'TCO TO BE - HW'!Q$4)/($E$4+'TCO TO BE - HW'!$E$4)*SUM(EXTERNE_POZICIE!$M$41:$M$52)*1.23)/EXTERNE_POZICIE!$B$41*12,IF((EXTERNE_POZICIE!$B$41-12*('TCO TO BE- SW'!$D155-1))&lt;0,0,(EXTERNE_POZICIE!$B$41-12*('TCO TO BE- SW'!$D155-1))*((Q$4+'TCO TO BE - HW'!Q$4)/($E$4+'TCO TO BE - HW'!$E$4)*SUM(EXTERNE_POZICIE!$M$41:$M$52)*1.23)/EXTERNE_POZICIE!$B$41)),0)+IFERROR(SUM(#REF!)*'TCO TO BE- SW'!Q$4/'TCO TO BE- SW'!$E$4,0)</f>
        <v>0</v>
      </c>
      <c r="R155" s="565">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HW'!$E$4)*SUM(POZICIE_INTERNE!$I$40:$I$51))/POZICIE_INTERNE!$B$40)),0)+IFERROR(IF((EXTERNE_POZICIE!$B$41-12*('TCO TO BE- SW'!$D155-1))&gt;12,((R$4+'TCO TO BE - HW'!R$4)/($E$4+'TCO TO BE - HW'!$E$4)*SUM(EXTERNE_POZICIE!$M$41:$M$52)*1.23)/EXTERNE_POZICIE!$B$41*12,IF((EXTERNE_POZICIE!$B$41-12*('TCO TO BE- SW'!$D155-1))&lt;0,0,(EXTERNE_POZICIE!$B$41-12*('TCO TO BE- SW'!$D155-1))*((R$4+'TCO TO BE - HW'!R$4)/($E$4+'TCO TO BE - HW'!$E$4)*SUM(EXTERNE_POZICIE!$M$41:$M$52)*1.23)/EXTERNE_POZICIE!$B$41)),0)+IFERROR(SUM(#REF!)*'TCO TO BE- SW'!R$4/'TCO TO BE- SW'!$E$4,0)</f>
        <v>0</v>
      </c>
      <c r="S155" s="565">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HW'!$E$4)*SUM(POZICIE_INTERNE!$I$40:$I$51))/POZICIE_INTERNE!$B$40)),0)+IFERROR(IF((EXTERNE_POZICIE!$B$41-12*('TCO TO BE- SW'!$D155-1))&gt;12,((S$4+'TCO TO BE - HW'!S$4)/($E$4+'TCO TO BE - HW'!$E$4)*SUM(EXTERNE_POZICIE!$M$41:$M$52)*1.23)/EXTERNE_POZICIE!$B$41*12,IF((EXTERNE_POZICIE!$B$41-12*('TCO TO BE- SW'!$D155-1))&lt;0,0,(EXTERNE_POZICIE!$B$41-12*('TCO TO BE- SW'!$D155-1))*((S$4+'TCO TO BE - HW'!S$4)/($E$4+'TCO TO BE - HW'!$E$4)*SUM(EXTERNE_POZICIE!$M$41:$M$52)*1.23)/EXTERNE_POZICIE!$B$41)),0)+IFERROR(SUM(#REF!)*'TCO TO BE- SW'!S$4/'TCO TO BE- SW'!$E$4,0)</f>
        <v>0</v>
      </c>
      <c r="T155" s="565">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HW'!$E$4)*SUM(POZICIE_INTERNE!$I$40:$I$51))/POZICIE_INTERNE!$B$40)),0)+IFERROR(IF((EXTERNE_POZICIE!$B$41-12*('TCO TO BE- SW'!$D155-1))&gt;12,((T$4+'TCO TO BE - HW'!T$4)/($E$4+'TCO TO BE - HW'!$E$4)*SUM(EXTERNE_POZICIE!$M$41:$M$52)*1.23)/EXTERNE_POZICIE!$B$41*12,IF((EXTERNE_POZICIE!$B$41-12*('TCO TO BE- SW'!$D155-1))&lt;0,0,(EXTERNE_POZICIE!$B$41-12*('TCO TO BE- SW'!$D155-1))*((T$4+'TCO TO BE - HW'!T$4)/($E$4+'TCO TO BE - HW'!$E$4)*SUM(EXTERNE_POZICIE!$M$41:$M$52)*1.23)/EXTERNE_POZICIE!$B$41)),0)+IFERROR(SUM(#REF!)*'TCO TO BE- SW'!T$4/'TCO TO BE- SW'!$E$4,0)</f>
        <v>0</v>
      </c>
      <c r="U155" s="565">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HW'!$E$4)*SUM(POZICIE_INTERNE!$I$40:$I$51))/POZICIE_INTERNE!$B$40)),0)+IFERROR(IF((EXTERNE_POZICIE!$B$41-12*('TCO TO BE- SW'!$D155-1))&gt;12,((U$4+'TCO TO BE - HW'!U$4)/($E$4+'TCO TO BE - HW'!$E$4)*SUM(EXTERNE_POZICIE!$M$41:$M$52)*1.23)/EXTERNE_POZICIE!$B$41*12,IF((EXTERNE_POZICIE!$B$41-12*('TCO TO BE- SW'!$D155-1))&lt;0,0,(EXTERNE_POZICIE!$B$41-12*('TCO TO BE- SW'!$D155-1))*((U$4+'TCO TO BE - HW'!U$4)/($E$4+'TCO TO BE - HW'!$E$4)*SUM(EXTERNE_POZICIE!$M$41:$M$52)*1.23)/EXTERNE_POZICIE!$B$41)),0)+IFERROR(SUM(#REF!)*'TCO TO BE- SW'!U$4/'TCO TO BE- SW'!$E$4,0)</f>
        <v>0</v>
      </c>
      <c r="V155" s="565">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HW'!$E$4)*SUM(POZICIE_INTERNE!$I$40:$I$51))/POZICIE_INTERNE!$B$40)),0)+IFERROR(IF((EXTERNE_POZICIE!$B$41-12*('TCO TO BE- SW'!$D155-1))&gt;12,((V$4+'TCO TO BE - HW'!V$4)/($E$4+'TCO TO BE - HW'!$E$4)*SUM(EXTERNE_POZICIE!$M$41:$M$52)*1.23)/EXTERNE_POZICIE!$B$41*12,IF((EXTERNE_POZICIE!$B$41-12*('TCO TO BE- SW'!$D155-1))&lt;0,0,(EXTERNE_POZICIE!$B$41-12*('TCO TO BE- SW'!$D155-1))*((V$4+'TCO TO BE - HW'!V$4)/($E$4+'TCO TO BE - HW'!$E$4)*SUM(EXTERNE_POZICIE!$M$41:$M$52)*1.23)/EXTERNE_POZICIE!$B$41)),0)+IFERROR(SUM(#REF!)*'TCO TO BE- SW'!V$4/'TCO TO BE- SW'!$E$4,0)</f>
        <v>0</v>
      </c>
      <c r="W155" s="565">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HW'!$E$4)*SUM(POZICIE_INTERNE!$I$40:$I$51))/POZICIE_INTERNE!$B$40)),0)+IFERROR(IF((EXTERNE_POZICIE!$B$41-12*('TCO TO BE- SW'!$D155-1))&gt;12,((W$4+'TCO TO BE - HW'!W$4)/($E$4+'TCO TO BE - HW'!$E$4)*SUM(EXTERNE_POZICIE!$M$41:$M$52)*1.23)/EXTERNE_POZICIE!$B$41*12,IF((EXTERNE_POZICIE!$B$41-12*('TCO TO BE- SW'!$D155-1))&lt;0,0,(EXTERNE_POZICIE!$B$41-12*('TCO TO BE- SW'!$D155-1))*((W$4+'TCO TO BE - HW'!W$4)/($E$4+'TCO TO BE - HW'!$E$4)*SUM(EXTERNE_POZICIE!$M$41:$M$52)*1.23)/EXTERNE_POZICIE!$B$41)),0)+IFERROR(SUM(#REF!)*'TCO TO BE- SW'!W$4/'TCO TO BE- SW'!$E$4,0)</f>
        <v>0</v>
      </c>
      <c r="X155" s="565">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HW'!$E$4)*SUM(POZICIE_INTERNE!$I$40:$I$51))/POZICIE_INTERNE!$B$40)),0)+IFERROR(IF((EXTERNE_POZICIE!$B$41-12*('TCO TO BE- SW'!$D155-1))&gt;12,((X$4+'TCO TO BE - HW'!X$4)/($E$4+'TCO TO BE - HW'!$E$4)*SUM(EXTERNE_POZICIE!$M$41:$M$52)*1.23)/EXTERNE_POZICIE!$B$41*12,IF((EXTERNE_POZICIE!$B$41-12*('TCO TO BE- SW'!$D155-1))&lt;0,0,(EXTERNE_POZICIE!$B$41-12*('TCO TO BE- SW'!$D155-1))*((X$4+'TCO TO BE - HW'!X$4)/($E$4+'TCO TO BE - HW'!$E$4)*SUM(EXTERNE_POZICIE!$M$41:$M$52)*1.23)/EXTERNE_POZICIE!$B$41)),0)+IFERROR(SUM(#REF!)*'TCO TO BE- SW'!X$4/'TCO TO BE- SW'!$E$4,0)</f>
        <v>0</v>
      </c>
      <c r="Y155" s="565">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HW'!$E$4)*SUM(POZICIE_INTERNE!$I$40:$I$51))/POZICIE_INTERNE!$B$40)),0)+IFERROR(IF((EXTERNE_POZICIE!$B$41-12*('TCO TO BE- SW'!$D155-1))&gt;12,((Y$4+'TCO TO BE - HW'!Y$4)/($E$4+'TCO TO BE - HW'!$E$4)*SUM(EXTERNE_POZICIE!$M$41:$M$52)*1.23)/EXTERNE_POZICIE!$B$41*12,IF((EXTERNE_POZICIE!$B$41-12*('TCO TO BE- SW'!$D155-1))&lt;0,0,(EXTERNE_POZICIE!$B$41-12*('TCO TO BE- SW'!$D155-1))*((Y$4+'TCO TO BE - HW'!Y$4)/($E$4+'TCO TO BE - HW'!$E$4)*SUM(EXTERNE_POZICIE!$M$41:$M$52)*1.23)/EXTERNE_POZICIE!$B$41)),0)+IFERROR(SUM(#REF!)*'TCO TO BE- SW'!Y$4/'TCO TO BE- SW'!$E$4,0)</f>
        <v>0</v>
      </c>
      <c r="Z155" s="565">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HW'!$E$4)*SUM(POZICIE_INTERNE!$I$40:$I$51))/POZICIE_INTERNE!$B$40)),0)+IFERROR(IF((EXTERNE_POZICIE!$B$41-12*('TCO TO BE- SW'!$D155-1))&gt;12,((Z$4+'TCO TO BE - HW'!Z$4)/($E$4+'TCO TO BE - HW'!$E$4)*SUM(EXTERNE_POZICIE!$M$41:$M$52)*1.23)/EXTERNE_POZICIE!$B$41*12,IF((EXTERNE_POZICIE!$B$41-12*('TCO TO BE- SW'!$D155-1))&lt;0,0,(EXTERNE_POZICIE!$B$41-12*('TCO TO BE- SW'!$D155-1))*((Z$4+'TCO TO BE - HW'!Z$4)/($E$4+'TCO TO BE - HW'!$E$4)*SUM(EXTERNE_POZICIE!$M$41:$M$52)*1.23)/EXTERNE_POZICIE!$B$41)),0)+IFERROR(SUM(#REF!)*'TCO TO BE- SW'!Z$4/'TCO TO BE- SW'!$E$4,0)</f>
        <v>0</v>
      </c>
    </row>
    <row r="156" spans="1:26">
      <c r="A156" s="807"/>
      <c r="B156" s="808"/>
      <c r="C156" s="808"/>
      <c r="D156" s="64">
        <v>6</v>
      </c>
      <c r="E156" s="68">
        <f t="shared" si="16"/>
        <v>0</v>
      </c>
      <c r="F156" s="565">
        <f>IFERROR(IF((POZICIE_INTERNE!$B$40-12*('TCO TO BE- SW'!$D156-1))&gt;12,((F$4+'TCO TO BE - HW'!F$4)/($E$4+'TCO TO BE - HW'!$E$4)*SUM(POZICIE_INTERNE!$I$40:$I$51))/POZICIE_INTERNE!$B$40*12,IF((POZICIE_INTERNE!$B$40-12*('TCO TO BE- SW'!$D156-1))&lt;0,0,(POZICIE_INTERNE!$B$40-12*('TCO TO BE- SW'!$D156-1))*((F$4+'TCO TO BE - HW'!F$4)/($E$4+'TCO TO BE - HW'!$E$4)*SUM(POZICIE_INTERNE!$I$40:$I$51))/POZICIE_INTERNE!$B$40)),0)+IFERROR(IF((EXTERNE_POZICIE!$B$41-12*('TCO TO BE- SW'!$D156-1))&gt;12,((F$4+'TCO TO BE - HW'!F$4)/($E$4+'TCO TO BE - HW'!$E$4)*SUM(EXTERNE_POZICIE!$M$41:$M$52)*1.23)/EXTERNE_POZICIE!$B$41*12,IF((EXTERNE_POZICIE!$B$41-12*('TCO TO BE- SW'!$D156-1))&lt;0,0,(EXTERNE_POZICIE!$B$41-12*('TCO TO BE- SW'!$D156-1))*((F$4+'TCO TO BE - HW'!F$4)/($E$4+'TCO TO BE - HW'!$E$4)*SUM(EXTERNE_POZICIE!$M$41:$M$52)*1.23)/EXTERNE_POZICIE!$B$41)),0)+IFERROR(SUM(#REF!)*'TCO TO BE- SW'!F$4/'TCO TO BE- SW'!$E$4,0)</f>
        <v>0</v>
      </c>
      <c r="G156" s="565">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HW'!$E$4)*SUM(POZICIE_INTERNE!$I$40:$I$51))/POZICIE_INTERNE!$B$40)),0)+IFERROR(IF((EXTERNE_POZICIE!$B$41-12*('TCO TO BE- SW'!$D156-1))&gt;12,((G$4+'TCO TO BE - HW'!G$4)/($E$4+'TCO TO BE - HW'!$E$4)*SUM(EXTERNE_POZICIE!$M$41:$M$52)*1.23)/EXTERNE_POZICIE!$B$41*12,IF((EXTERNE_POZICIE!$B$41-12*('TCO TO BE- SW'!$D156-1))&lt;0,0,(EXTERNE_POZICIE!$B$41-12*('TCO TO BE- SW'!$D156-1))*((G$4+'TCO TO BE - HW'!G$4)/($E$4+'TCO TO BE - HW'!$E$4)*SUM(EXTERNE_POZICIE!$M$41:$M$52)*1.23)/EXTERNE_POZICIE!$B$41)),0)+IFERROR(SUM(#REF!)*'TCO TO BE- SW'!G$4/'TCO TO BE- SW'!$E$4,0)</f>
        <v>0</v>
      </c>
      <c r="H156" s="565">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HW'!$E$4)*SUM(POZICIE_INTERNE!$I$40:$I$51))/POZICIE_INTERNE!$B$40)),0)+IFERROR(IF((EXTERNE_POZICIE!$B$41-12*('TCO TO BE- SW'!$D156-1))&gt;12,((H$4+'TCO TO BE - HW'!H$4)/($E$4+'TCO TO BE - HW'!$E$4)*SUM(EXTERNE_POZICIE!$M$41:$M$52)*1.23)/EXTERNE_POZICIE!$B$41*12,IF((EXTERNE_POZICIE!$B$41-12*('TCO TO BE- SW'!$D156-1))&lt;0,0,(EXTERNE_POZICIE!$B$41-12*('TCO TO BE- SW'!$D156-1))*((H$4+'TCO TO BE - HW'!H$4)/($E$4+'TCO TO BE - HW'!$E$4)*SUM(EXTERNE_POZICIE!$M$41:$M$52)*1.23)/EXTERNE_POZICIE!$B$41)),0)+IFERROR(SUM(#REF!)*'TCO TO BE- SW'!H$4/'TCO TO BE- SW'!$E$4,0)</f>
        <v>0</v>
      </c>
      <c r="I156" s="565">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HW'!$E$4)*SUM(POZICIE_INTERNE!$I$40:$I$51))/POZICIE_INTERNE!$B$40)),0)+IFERROR(IF((EXTERNE_POZICIE!$B$41-12*('TCO TO BE- SW'!$D156-1))&gt;12,((I$4+'TCO TO BE - HW'!I$4)/($E$4+'TCO TO BE - HW'!$E$4)*SUM(EXTERNE_POZICIE!$M$41:$M$52)*1.23)/EXTERNE_POZICIE!$B$41*12,IF((EXTERNE_POZICIE!$B$41-12*('TCO TO BE- SW'!$D156-1))&lt;0,0,(EXTERNE_POZICIE!$B$41-12*('TCO TO BE- SW'!$D156-1))*((I$4+'TCO TO BE - HW'!I$4)/($E$4+'TCO TO BE - HW'!$E$4)*SUM(EXTERNE_POZICIE!$M$41:$M$52)*1.23)/EXTERNE_POZICIE!$B$41)),0)+IFERROR(SUM(#REF!)*'TCO TO BE- SW'!I$4/'TCO TO BE- SW'!$E$4,0)</f>
        <v>0</v>
      </c>
      <c r="J156" s="565">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HW'!$E$4)*SUM(POZICIE_INTERNE!$I$40:$I$51))/POZICIE_INTERNE!$B$40)),0)+IFERROR(IF((EXTERNE_POZICIE!$B$41-12*('TCO TO BE- SW'!$D156-1))&gt;12,((J$4+'TCO TO BE - HW'!J$4)/($E$4+'TCO TO BE - HW'!$E$4)*SUM(EXTERNE_POZICIE!$M$41:$M$52)*1.23)/EXTERNE_POZICIE!$B$41*12,IF((EXTERNE_POZICIE!$B$41-12*('TCO TO BE- SW'!$D156-1))&lt;0,0,(EXTERNE_POZICIE!$B$41-12*('TCO TO BE- SW'!$D156-1))*((J$4+'TCO TO BE - HW'!J$4)/($E$4+'TCO TO BE - HW'!$E$4)*SUM(EXTERNE_POZICIE!$M$41:$M$52)*1.23)/EXTERNE_POZICIE!$B$41)),0)+IFERROR(SUM(#REF!)*'TCO TO BE- SW'!J$4/'TCO TO BE- SW'!$E$4,0)</f>
        <v>0</v>
      </c>
      <c r="K156" s="565">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HW'!$E$4)*SUM(POZICIE_INTERNE!$I$40:$I$51))/POZICIE_INTERNE!$B$40)),0)+IFERROR(IF((EXTERNE_POZICIE!$B$41-12*('TCO TO BE- SW'!$D156-1))&gt;12,((K$4+'TCO TO BE - HW'!K$4)/($E$4+'TCO TO BE - HW'!$E$4)*SUM(EXTERNE_POZICIE!$M$41:$M$52)*1.23)/EXTERNE_POZICIE!$B$41*12,IF((EXTERNE_POZICIE!$B$41-12*('TCO TO BE- SW'!$D156-1))&lt;0,0,(EXTERNE_POZICIE!$B$41-12*('TCO TO BE- SW'!$D156-1))*((K$4+'TCO TO BE - HW'!K$4)/($E$4+'TCO TO BE - HW'!$E$4)*SUM(EXTERNE_POZICIE!$M$41:$M$52)*1.23)/EXTERNE_POZICIE!$B$41)),0)+IFERROR(SUM(#REF!)*'TCO TO BE- SW'!K$4/'TCO TO BE- SW'!$E$4,0)</f>
        <v>0</v>
      </c>
      <c r="L156" s="565">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HW'!$E$4)*SUM(POZICIE_INTERNE!$I$40:$I$51))/POZICIE_INTERNE!$B$40)),0)+IFERROR(IF((EXTERNE_POZICIE!$B$41-12*('TCO TO BE- SW'!$D156-1))&gt;12,((L$4+'TCO TO BE - HW'!L$4)/($E$4+'TCO TO BE - HW'!$E$4)*SUM(EXTERNE_POZICIE!$M$41:$M$52)*1.23)/EXTERNE_POZICIE!$B$41*12,IF((EXTERNE_POZICIE!$B$41-12*('TCO TO BE- SW'!$D156-1))&lt;0,0,(EXTERNE_POZICIE!$B$41-12*('TCO TO BE- SW'!$D156-1))*((L$4+'TCO TO BE - HW'!L$4)/($E$4+'TCO TO BE - HW'!$E$4)*SUM(EXTERNE_POZICIE!$M$41:$M$52)*1.23)/EXTERNE_POZICIE!$B$41)),0)+IFERROR(SUM(#REF!)*'TCO TO BE- SW'!L$4/'TCO TO BE- SW'!$E$4,0)</f>
        <v>0</v>
      </c>
      <c r="M156" s="565">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HW'!$E$4)*SUM(POZICIE_INTERNE!$I$40:$I$51))/POZICIE_INTERNE!$B$40)),0)+IFERROR(IF((EXTERNE_POZICIE!$B$41-12*('TCO TO BE- SW'!$D156-1))&gt;12,((M$4+'TCO TO BE - HW'!M$4)/($E$4+'TCO TO BE - HW'!$E$4)*SUM(EXTERNE_POZICIE!$M$41:$M$52)*1.23)/EXTERNE_POZICIE!$B$41*12,IF((EXTERNE_POZICIE!$B$41-12*('TCO TO BE- SW'!$D156-1))&lt;0,0,(EXTERNE_POZICIE!$B$41-12*('TCO TO BE- SW'!$D156-1))*((M$4+'TCO TO BE - HW'!M$4)/($E$4+'TCO TO BE - HW'!$E$4)*SUM(EXTERNE_POZICIE!$M$41:$M$52)*1.23)/EXTERNE_POZICIE!$B$41)),0)+IFERROR(SUM(#REF!)*'TCO TO BE- SW'!M$4/'TCO TO BE- SW'!$E$4,0)</f>
        <v>0</v>
      </c>
      <c r="N156" s="565">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HW'!$E$4)*SUM(POZICIE_INTERNE!$I$40:$I$51))/POZICIE_INTERNE!$B$40)),0)+IFERROR(IF((EXTERNE_POZICIE!$B$41-12*('TCO TO BE- SW'!$D156-1))&gt;12,((N$4+'TCO TO BE - HW'!N$4)/($E$4+'TCO TO BE - HW'!$E$4)*SUM(EXTERNE_POZICIE!$M$41:$M$52)*1.23)/EXTERNE_POZICIE!$B$41*12,IF((EXTERNE_POZICIE!$B$41-12*('TCO TO BE- SW'!$D156-1))&lt;0,0,(EXTERNE_POZICIE!$B$41-12*('TCO TO BE- SW'!$D156-1))*((N$4+'TCO TO BE - HW'!N$4)/($E$4+'TCO TO BE - HW'!$E$4)*SUM(EXTERNE_POZICIE!$M$41:$M$52)*1.23)/EXTERNE_POZICIE!$B$41)),0)+IFERROR(SUM(#REF!)*'TCO TO BE- SW'!N$4/'TCO TO BE- SW'!$E$4,0)</f>
        <v>0</v>
      </c>
      <c r="O156" s="565">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HW'!$E$4)*SUM(POZICIE_INTERNE!$I$40:$I$51))/POZICIE_INTERNE!$B$40)),0)+IFERROR(IF((EXTERNE_POZICIE!$B$41-12*('TCO TO BE- SW'!$D156-1))&gt;12,((O$4+'TCO TO BE - HW'!O$4)/($E$4+'TCO TO BE - HW'!$E$4)*SUM(EXTERNE_POZICIE!$M$41:$M$52)*1.23)/EXTERNE_POZICIE!$B$41*12,IF((EXTERNE_POZICIE!$B$41-12*('TCO TO BE- SW'!$D156-1))&lt;0,0,(EXTERNE_POZICIE!$B$41-12*('TCO TO BE- SW'!$D156-1))*((O$4+'TCO TO BE - HW'!O$4)/($E$4+'TCO TO BE - HW'!$E$4)*SUM(EXTERNE_POZICIE!$M$41:$M$52)*1.23)/EXTERNE_POZICIE!$B$41)),0)+IFERROR(SUM(#REF!)*'TCO TO BE- SW'!O$4/'TCO TO BE- SW'!$E$4,0)</f>
        <v>0</v>
      </c>
      <c r="P156" s="565">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HW'!$E$4)*SUM(POZICIE_INTERNE!$I$40:$I$51))/POZICIE_INTERNE!$B$40)),0)+IFERROR(IF((EXTERNE_POZICIE!$B$41-12*('TCO TO BE- SW'!$D156-1))&gt;12,((P$4+'TCO TO BE - HW'!P$4)/($E$4+'TCO TO BE - HW'!$E$4)*SUM(EXTERNE_POZICIE!$M$41:$M$52)*1.23)/EXTERNE_POZICIE!$B$41*12,IF((EXTERNE_POZICIE!$B$41-12*('TCO TO BE- SW'!$D156-1))&lt;0,0,(EXTERNE_POZICIE!$B$41-12*('TCO TO BE- SW'!$D156-1))*((P$4+'TCO TO BE - HW'!P$4)/($E$4+'TCO TO BE - HW'!$E$4)*SUM(EXTERNE_POZICIE!$M$41:$M$52)*1.23)/EXTERNE_POZICIE!$B$41)),0)+IFERROR(SUM(#REF!)*'TCO TO BE- SW'!P$4/'TCO TO BE- SW'!$E$4,0)</f>
        <v>0</v>
      </c>
      <c r="Q156" s="565">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HW'!$E$4)*SUM(POZICIE_INTERNE!$I$40:$I$51))/POZICIE_INTERNE!$B$40)),0)+IFERROR(IF((EXTERNE_POZICIE!$B$41-12*('TCO TO BE- SW'!$D156-1))&gt;12,((Q$4+'TCO TO BE - HW'!Q$4)/($E$4+'TCO TO BE - HW'!$E$4)*SUM(EXTERNE_POZICIE!$M$41:$M$52)*1.23)/EXTERNE_POZICIE!$B$41*12,IF((EXTERNE_POZICIE!$B$41-12*('TCO TO BE- SW'!$D156-1))&lt;0,0,(EXTERNE_POZICIE!$B$41-12*('TCO TO BE- SW'!$D156-1))*((Q$4+'TCO TO BE - HW'!Q$4)/($E$4+'TCO TO BE - HW'!$E$4)*SUM(EXTERNE_POZICIE!$M$41:$M$52)*1.23)/EXTERNE_POZICIE!$B$41)),0)+IFERROR(SUM(#REF!)*'TCO TO BE- SW'!Q$4/'TCO TO BE- SW'!$E$4,0)</f>
        <v>0</v>
      </c>
      <c r="R156" s="565">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HW'!$E$4)*SUM(POZICIE_INTERNE!$I$40:$I$51))/POZICIE_INTERNE!$B$40)),0)+IFERROR(IF((EXTERNE_POZICIE!$B$41-12*('TCO TO BE- SW'!$D156-1))&gt;12,((R$4+'TCO TO BE - HW'!R$4)/($E$4+'TCO TO BE - HW'!$E$4)*SUM(EXTERNE_POZICIE!$M$41:$M$52)*1.23)/EXTERNE_POZICIE!$B$41*12,IF((EXTERNE_POZICIE!$B$41-12*('TCO TO BE- SW'!$D156-1))&lt;0,0,(EXTERNE_POZICIE!$B$41-12*('TCO TO BE- SW'!$D156-1))*((R$4+'TCO TO BE - HW'!R$4)/($E$4+'TCO TO BE - HW'!$E$4)*SUM(EXTERNE_POZICIE!$M$41:$M$52)*1.23)/EXTERNE_POZICIE!$B$41)),0)+IFERROR(SUM(#REF!)*'TCO TO BE- SW'!R$4/'TCO TO BE- SW'!$E$4,0)</f>
        <v>0</v>
      </c>
      <c r="S156" s="565">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HW'!$E$4)*SUM(POZICIE_INTERNE!$I$40:$I$51))/POZICIE_INTERNE!$B$40)),0)+IFERROR(IF((EXTERNE_POZICIE!$B$41-12*('TCO TO BE- SW'!$D156-1))&gt;12,((S$4+'TCO TO BE - HW'!S$4)/($E$4+'TCO TO BE - HW'!$E$4)*SUM(EXTERNE_POZICIE!$M$41:$M$52)*1.23)/EXTERNE_POZICIE!$B$41*12,IF((EXTERNE_POZICIE!$B$41-12*('TCO TO BE- SW'!$D156-1))&lt;0,0,(EXTERNE_POZICIE!$B$41-12*('TCO TO BE- SW'!$D156-1))*((S$4+'TCO TO BE - HW'!S$4)/($E$4+'TCO TO BE - HW'!$E$4)*SUM(EXTERNE_POZICIE!$M$41:$M$52)*1.23)/EXTERNE_POZICIE!$B$41)),0)+IFERROR(SUM(#REF!)*'TCO TO BE- SW'!S$4/'TCO TO BE- SW'!$E$4,0)</f>
        <v>0</v>
      </c>
      <c r="T156" s="565">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HW'!$E$4)*SUM(POZICIE_INTERNE!$I$40:$I$51))/POZICIE_INTERNE!$B$40)),0)+IFERROR(IF((EXTERNE_POZICIE!$B$41-12*('TCO TO BE- SW'!$D156-1))&gt;12,((T$4+'TCO TO BE - HW'!T$4)/($E$4+'TCO TO BE - HW'!$E$4)*SUM(EXTERNE_POZICIE!$M$41:$M$52)*1.23)/EXTERNE_POZICIE!$B$41*12,IF((EXTERNE_POZICIE!$B$41-12*('TCO TO BE- SW'!$D156-1))&lt;0,0,(EXTERNE_POZICIE!$B$41-12*('TCO TO BE- SW'!$D156-1))*((T$4+'TCO TO BE - HW'!T$4)/($E$4+'TCO TO BE - HW'!$E$4)*SUM(EXTERNE_POZICIE!$M$41:$M$52)*1.23)/EXTERNE_POZICIE!$B$41)),0)+IFERROR(SUM(#REF!)*'TCO TO BE- SW'!T$4/'TCO TO BE- SW'!$E$4,0)</f>
        <v>0</v>
      </c>
      <c r="U156" s="565">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HW'!$E$4)*SUM(POZICIE_INTERNE!$I$40:$I$51))/POZICIE_INTERNE!$B$40)),0)+IFERROR(IF((EXTERNE_POZICIE!$B$41-12*('TCO TO BE- SW'!$D156-1))&gt;12,((U$4+'TCO TO BE - HW'!U$4)/($E$4+'TCO TO BE - HW'!$E$4)*SUM(EXTERNE_POZICIE!$M$41:$M$52)*1.23)/EXTERNE_POZICIE!$B$41*12,IF((EXTERNE_POZICIE!$B$41-12*('TCO TO BE- SW'!$D156-1))&lt;0,0,(EXTERNE_POZICIE!$B$41-12*('TCO TO BE- SW'!$D156-1))*((U$4+'TCO TO BE - HW'!U$4)/($E$4+'TCO TO BE - HW'!$E$4)*SUM(EXTERNE_POZICIE!$M$41:$M$52)*1.23)/EXTERNE_POZICIE!$B$41)),0)+IFERROR(SUM(#REF!)*'TCO TO BE- SW'!U$4/'TCO TO BE- SW'!$E$4,0)</f>
        <v>0</v>
      </c>
      <c r="V156" s="565">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HW'!$E$4)*SUM(POZICIE_INTERNE!$I$40:$I$51))/POZICIE_INTERNE!$B$40)),0)+IFERROR(IF((EXTERNE_POZICIE!$B$41-12*('TCO TO BE- SW'!$D156-1))&gt;12,((V$4+'TCO TO BE - HW'!V$4)/($E$4+'TCO TO BE - HW'!$E$4)*SUM(EXTERNE_POZICIE!$M$41:$M$52)*1.23)/EXTERNE_POZICIE!$B$41*12,IF((EXTERNE_POZICIE!$B$41-12*('TCO TO BE- SW'!$D156-1))&lt;0,0,(EXTERNE_POZICIE!$B$41-12*('TCO TO BE- SW'!$D156-1))*((V$4+'TCO TO BE - HW'!V$4)/($E$4+'TCO TO BE - HW'!$E$4)*SUM(EXTERNE_POZICIE!$M$41:$M$52)*1.23)/EXTERNE_POZICIE!$B$41)),0)+IFERROR(SUM(#REF!)*'TCO TO BE- SW'!V$4/'TCO TO BE- SW'!$E$4,0)</f>
        <v>0</v>
      </c>
      <c r="W156" s="565">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HW'!$E$4)*SUM(POZICIE_INTERNE!$I$40:$I$51))/POZICIE_INTERNE!$B$40)),0)+IFERROR(IF((EXTERNE_POZICIE!$B$41-12*('TCO TO BE- SW'!$D156-1))&gt;12,((W$4+'TCO TO BE - HW'!W$4)/($E$4+'TCO TO BE - HW'!$E$4)*SUM(EXTERNE_POZICIE!$M$41:$M$52)*1.23)/EXTERNE_POZICIE!$B$41*12,IF((EXTERNE_POZICIE!$B$41-12*('TCO TO BE- SW'!$D156-1))&lt;0,0,(EXTERNE_POZICIE!$B$41-12*('TCO TO BE- SW'!$D156-1))*((W$4+'TCO TO BE - HW'!W$4)/($E$4+'TCO TO BE - HW'!$E$4)*SUM(EXTERNE_POZICIE!$M$41:$M$52)*1.23)/EXTERNE_POZICIE!$B$41)),0)+IFERROR(SUM(#REF!)*'TCO TO BE- SW'!W$4/'TCO TO BE- SW'!$E$4,0)</f>
        <v>0</v>
      </c>
      <c r="X156" s="565">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HW'!$E$4)*SUM(POZICIE_INTERNE!$I$40:$I$51))/POZICIE_INTERNE!$B$40)),0)+IFERROR(IF((EXTERNE_POZICIE!$B$41-12*('TCO TO BE- SW'!$D156-1))&gt;12,((X$4+'TCO TO BE - HW'!X$4)/($E$4+'TCO TO BE - HW'!$E$4)*SUM(EXTERNE_POZICIE!$M$41:$M$52)*1.23)/EXTERNE_POZICIE!$B$41*12,IF((EXTERNE_POZICIE!$B$41-12*('TCO TO BE- SW'!$D156-1))&lt;0,0,(EXTERNE_POZICIE!$B$41-12*('TCO TO BE- SW'!$D156-1))*((X$4+'TCO TO BE - HW'!X$4)/($E$4+'TCO TO BE - HW'!$E$4)*SUM(EXTERNE_POZICIE!$M$41:$M$52)*1.23)/EXTERNE_POZICIE!$B$41)),0)+IFERROR(SUM(#REF!)*'TCO TO BE- SW'!X$4/'TCO TO BE- SW'!$E$4,0)</f>
        <v>0</v>
      </c>
      <c r="Y156" s="565">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HW'!$E$4)*SUM(POZICIE_INTERNE!$I$40:$I$51))/POZICIE_INTERNE!$B$40)),0)+IFERROR(IF((EXTERNE_POZICIE!$B$41-12*('TCO TO BE- SW'!$D156-1))&gt;12,((Y$4+'TCO TO BE - HW'!Y$4)/($E$4+'TCO TO BE - HW'!$E$4)*SUM(EXTERNE_POZICIE!$M$41:$M$52)*1.23)/EXTERNE_POZICIE!$B$41*12,IF((EXTERNE_POZICIE!$B$41-12*('TCO TO BE- SW'!$D156-1))&lt;0,0,(EXTERNE_POZICIE!$B$41-12*('TCO TO BE- SW'!$D156-1))*((Y$4+'TCO TO BE - HW'!Y$4)/($E$4+'TCO TO BE - HW'!$E$4)*SUM(EXTERNE_POZICIE!$M$41:$M$52)*1.23)/EXTERNE_POZICIE!$B$41)),0)+IFERROR(SUM(#REF!)*'TCO TO BE- SW'!Y$4/'TCO TO BE- SW'!$E$4,0)</f>
        <v>0</v>
      </c>
      <c r="Z156" s="565">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HW'!$E$4)*SUM(POZICIE_INTERNE!$I$40:$I$51))/POZICIE_INTERNE!$B$40)),0)+IFERROR(IF((EXTERNE_POZICIE!$B$41-12*('TCO TO BE- SW'!$D156-1))&gt;12,((Z$4+'TCO TO BE - HW'!Z$4)/($E$4+'TCO TO BE - HW'!$E$4)*SUM(EXTERNE_POZICIE!$M$41:$M$52)*1.23)/EXTERNE_POZICIE!$B$41*12,IF((EXTERNE_POZICIE!$B$41-12*('TCO TO BE- SW'!$D156-1))&lt;0,0,(EXTERNE_POZICIE!$B$41-12*('TCO TO BE- SW'!$D156-1))*((Z$4+'TCO TO BE - HW'!Z$4)/($E$4+'TCO TO BE - HW'!$E$4)*SUM(EXTERNE_POZICIE!$M$41:$M$52)*1.23)/EXTERNE_POZICIE!$B$41)),0)+IFERROR(SUM(#REF!)*'TCO TO BE- SW'!Z$4/'TCO TO BE- SW'!$E$4,0)</f>
        <v>0</v>
      </c>
    </row>
    <row r="157" spans="1:26">
      <c r="A157" s="807"/>
      <c r="B157" s="808"/>
      <c r="C157" s="808"/>
      <c r="D157" s="64">
        <v>7</v>
      </c>
      <c r="E157" s="68">
        <f t="shared" si="16"/>
        <v>0</v>
      </c>
      <c r="F157" s="565">
        <f>IFERROR(IF((POZICIE_INTERNE!$B$40-12*('TCO TO BE- SW'!$D157-1))&gt;12,((F$4+'TCO TO BE - HW'!F$4)/($E$4+'TCO TO BE - HW'!$E$4)*SUM(POZICIE_INTERNE!$I$40:$I$51))/POZICIE_INTERNE!$B$40*12,IF((POZICIE_INTERNE!$B$40-12*('TCO TO BE- SW'!$D157-1))&lt;0,0,(POZICIE_INTERNE!$B$40-12*('TCO TO BE- SW'!$D157-1))*((F$4+'TCO TO BE - HW'!F$4)/($E$4+'TCO TO BE - HW'!$E$4)*SUM(POZICIE_INTERNE!$I$40:$I$51))/POZICIE_INTERNE!$B$40)),0)+IFERROR(IF((EXTERNE_POZICIE!$B$41-12*('TCO TO BE- SW'!$D157-1))&gt;12,((F$4+'TCO TO BE - HW'!F$4)/($E$4+'TCO TO BE - HW'!$E$4)*SUM(EXTERNE_POZICIE!$M$41:$M$52)*1.23)/EXTERNE_POZICIE!$B$41*12,IF((EXTERNE_POZICIE!$B$41-12*('TCO TO BE- SW'!$D157-1))&lt;0,0,(EXTERNE_POZICIE!$B$41-12*('TCO TO BE- SW'!$D157-1))*((F$4+'TCO TO BE - HW'!F$4)/($E$4+'TCO TO BE - HW'!$E$4)*SUM(EXTERNE_POZICIE!$M$41:$M$52)*1.23)/EXTERNE_POZICIE!$B$41)),0)+IFERROR(SUM(#REF!)*'TCO TO BE- SW'!F$4/'TCO TO BE- SW'!$E$4,0)</f>
        <v>0</v>
      </c>
      <c r="G157" s="565">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HW'!$E$4)*SUM(POZICIE_INTERNE!$I$40:$I$51))/POZICIE_INTERNE!$B$40)),0)+IFERROR(IF((EXTERNE_POZICIE!$B$41-12*('TCO TO BE- SW'!$D157-1))&gt;12,((G$4+'TCO TO BE - HW'!G$4)/($E$4+'TCO TO BE - HW'!$E$4)*SUM(EXTERNE_POZICIE!$M$41:$M$52)*1.23)/EXTERNE_POZICIE!$B$41*12,IF((EXTERNE_POZICIE!$B$41-12*('TCO TO BE- SW'!$D157-1))&lt;0,0,(EXTERNE_POZICIE!$B$41-12*('TCO TO BE- SW'!$D157-1))*((G$4+'TCO TO BE - HW'!G$4)/($E$4+'TCO TO BE - HW'!$E$4)*SUM(EXTERNE_POZICIE!$M$41:$M$52)*1.23)/EXTERNE_POZICIE!$B$41)),0)+IFERROR(SUM(#REF!)*'TCO TO BE- SW'!G$4/'TCO TO BE- SW'!$E$4,0)</f>
        <v>0</v>
      </c>
      <c r="H157" s="565">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HW'!$E$4)*SUM(POZICIE_INTERNE!$I$40:$I$51))/POZICIE_INTERNE!$B$40)),0)+IFERROR(IF((EXTERNE_POZICIE!$B$41-12*('TCO TO BE- SW'!$D157-1))&gt;12,((H$4+'TCO TO BE - HW'!H$4)/($E$4+'TCO TO BE - HW'!$E$4)*SUM(EXTERNE_POZICIE!$M$41:$M$52)*1.23)/EXTERNE_POZICIE!$B$41*12,IF((EXTERNE_POZICIE!$B$41-12*('TCO TO BE- SW'!$D157-1))&lt;0,0,(EXTERNE_POZICIE!$B$41-12*('TCO TO BE- SW'!$D157-1))*((H$4+'TCO TO BE - HW'!H$4)/($E$4+'TCO TO BE - HW'!$E$4)*SUM(EXTERNE_POZICIE!$M$41:$M$52)*1.23)/EXTERNE_POZICIE!$B$41)),0)+IFERROR(SUM(#REF!)*'TCO TO BE- SW'!H$4/'TCO TO BE- SW'!$E$4,0)</f>
        <v>0</v>
      </c>
      <c r="I157" s="565">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HW'!$E$4)*SUM(POZICIE_INTERNE!$I$40:$I$51))/POZICIE_INTERNE!$B$40)),0)+IFERROR(IF((EXTERNE_POZICIE!$B$41-12*('TCO TO BE- SW'!$D157-1))&gt;12,((I$4+'TCO TO BE - HW'!I$4)/($E$4+'TCO TO BE - HW'!$E$4)*SUM(EXTERNE_POZICIE!$M$41:$M$52)*1.23)/EXTERNE_POZICIE!$B$41*12,IF((EXTERNE_POZICIE!$B$41-12*('TCO TO BE- SW'!$D157-1))&lt;0,0,(EXTERNE_POZICIE!$B$41-12*('TCO TO BE- SW'!$D157-1))*((I$4+'TCO TO BE - HW'!I$4)/($E$4+'TCO TO BE - HW'!$E$4)*SUM(EXTERNE_POZICIE!$M$41:$M$52)*1.23)/EXTERNE_POZICIE!$B$41)),0)+IFERROR(SUM(#REF!)*'TCO TO BE- SW'!I$4/'TCO TO BE- SW'!$E$4,0)</f>
        <v>0</v>
      </c>
      <c r="J157" s="565">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HW'!$E$4)*SUM(POZICIE_INTERNE!$I$40:$I$51))/POZICIE_INTERNE!$B$40)),0)+IFERROR(IF((EXTERNE_POZICIE!$B$41-12*('TCO TO BE- SW'!$D157-1))&gt;12,((J$4+'TCO TO BE - HW'!J$4)/($E$4+'TCO TO BE - HW'!$E$4)*SUM(EXTERNE_POZICIE!$M$41:$M$52)*1.23)/EXTERNE_POZICIE!$B$41*12,IF((EXTERNE_POZICIE!$B$41-12*('TCO TO BE- SW'!$D157-1))&lt;0,0,(EXTERNE_POZICIE!$B$41-12*('TCO TO BE- SW'!$D157-1))*((J$4+'TCO TO BE - HW'!J$4)/($E$4+'TCO TO BE - HW'!$E$4)*SUM(EXTERNE_POZICIE!$M$41:$M$52)*1.23)/EXTERNE_POZICIE!$B$41)),0)+IFERROR(SUM(#REF!)*'TCO TO BE- SW'!J$4/'TCO TO BE- SW'!$E$4,0)</f>
        <v>0</v>
      </c>
      <c r="K157" s="565">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HW'!$E$4)*SUM(POZICIE_INTERNE!$I$40:$I$51))/POZICIE_INTERNE!$B$40)),0)+IFERROR(IF((EXTERNE_POZICIE!$B$41-12*('TCO TO BE- SW'!$D157-1))&gt;12,((K$4+'TCO TO BE - HW'!K$4)/($E$4+'TCO TO BE - HW'!$E$4)*SUM(EXTERNE_POZICIE!$M$41:$M$52)*1.23)/EXTERNE_POZICIE!$B$41*12,IF((EXTERNE_POZICIE!$B$41-12*('TCO TO BE- SW'!$D157-1))&lt;0,0,(EXTERNE_POZICIE!$B$41-12*('TCO TO BE- SW'!$D157-1))*((K$4+'TCO TO BE - HW'!K$4)/($E$4+'TCO TO BE - HW'!$E$4)*SUM(EXTERNE_POZICIE!$M$41:$M$52)*1.23)/EXTERNE_POZICIE!$B$41)),0)+IFERROR(SUM(#REF!)*'TCO TO BE- SW'!K$4/'TCO TO BE- SW'!$E$4,0)</f>
        <v>0</v>
      </c>
      <c r="L157" s="565">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HW'!$E$4)*SUM(POZICIE_INTERNE!$I$40:$I$51))/POZICIE_INTERNE!$B$40)),0)+IFERROR(IF((EXTERNE_POZICIE!$B$41-12*('TCO TO BE- SW'!$D157-1))&gt;12,((L$4+'TCO TO BE - HW'!L$4)/($E$4+'TCO TO BE - HW'!$E$4)*SUM(EXTERNE_POZICIE!$M$41:$M$52)*1.23)/EXTERNE_POZICIE!$B$41*12,IF((EXTERNE_POZICIE!$B$41-12*('TCO TO BE- SW'!$D157-1))&lt;0,0,(EXTERNE_POZICIE!$B$41-12*('TCO TO BE- SW'!$D157-1))*((L$4+'TCO TO BE - HW'!L$4)/($E$4+'TCO TO BE - HW'!$E$4)*SUM(EXTERNE_POZICIE!$M$41:$M$52)*1.23)/EXTERNE_POZICIE!$B$41)),0)+IFERROR(SUM(#REF!)*'TCO TO BE- SW'!L$4/'TCO TO BE- SW'!$E$4,0)</f>
        <v>0</v>
      </c>
      <c r="M157" s="565">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HW'!$E$4)*SUM(POZICIE_INTERNE!$I$40:$I$51))/POZICIE_INTERNE!$B$40)),0)+IFERROR(IF((EXTERNE_POZICIE!$B$41-12*('TCO TO BE- SW'!$D157-1))&gt;12,((M$4+'TCO TO BE - HW'!M$4)/($E$4+'TCO TO BE - HW'!$E$4)*SUM(EXTERNE_POZICIE!$M$41:$M$52)*1.23)/EXTERNE_POZICIE!$B$41*12,IF((EXTERNE_POZICIE!$B$41-12*('TCO TO BE- SW'!$D157-1))&lt;0,0,(EXTERNE_POZICIE!$B$41-12*('TCO TO BE- SW'!$D157-1))*((M$4+'TCO TO BE - HW'!M$4)/($E$4+'TCO TO BE - HW'!$E$4)*SUM(EXTERNE_POZICIE!$M$41:$M$52)*1.23)/EXTERNE_POZICIE!$B$41)),0)+IFERROR(SUM(#REF!)*'TCO TO BE- SW'!M$4/'TCO TO BE- SW'!$E$4,0)</f>
        <v>0</v>
      </c>
      <c r="N157" s="565">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HW'!$E$4)*SUM(POZICIE_INTERNE!$I$40:$I$51))/POZICIE_INTERNE!$B$40)),0)+IFERROR(IF((EXTERNE_POZICIE!$B$41-12*('TCO TO BE- SW'!$D157-1))&gt;12,((N$4+'TCO TO BE - HW'!N$4)/($E$4+'TCO TO BE - HW'!$E$4)*SUM(EXTERNE_POZICIE!$M$41:$M$52)*1.23)/EXTERNE_POZICIE!$B$41*12,IF((EXTERNE_POZICIE!$B$41-12*('TCO TO BE- SW'!$D157-1))&lt;0,0,(EXTERNE_POZICIE!$B$41-12*('TCO TO BE- SW'!$D157-1))*((N$4+'TCO TO BE - HW'!N$4)/($E$4+'TCO TO BE - HW'!$E$4)*SUM(EXTERNE_POZICIE!$M$41:$M$52)*1.23)/EXTERNE_POZICIE!$B$41)),0)+IFERROR(SUM(#REF!)*'TCO TO BE- SW'!N$4/'TCO TO BE- SW'!$E$4,0)</f>
        <v>0</v>
      </c>
      <c r="O157" s="565">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HW'!$E$4)*SUM(POZICIE_INTERNE!$I$40:$I$51))/POZICIE_INTERNE!$B$40)),0)+IFERROR(IF((EXTERNE_POZICIE!$B$41-12*('TCO TO BE- SW'!$D157-1))&gt;12,((O$4+'TCO TO BE - HW'!O$4)/($E$4+'TCO TO BE - HW'!$E$4)*SUM(EXTERNE_POZICIE!$M$41:$M$52)*1.23)/EXTERNE_POZICIE!$B$41*12,IF((EXTERNE_POZICIE!$B$41-12*('TCO TO BE- SW'!$D157-1))&lt;0,0,(EXTERNE_POZICIE!$B$41-12*('TCO TO BE- SW'!$D157-1))*((O$4+'TCO TO BE - HW'!O$4)/($E$4+'TCO TO BE - HW'!$E$4)*SUM(EXTERNE_POZICIE!$M$41:$M$52)*1.23)/EXTERNE_POZICIE!$B$41)),0)+IFERROR(SUM(#REF!)*'TCO TO BE- SW'!O$4/'TCO TO BE- SW'!$E$4,0)</f>
        <v>0</v>
      </c>
      <c r="P157" s="565">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HW'!$E$4)*SUM(POZICIE_INTERNE!$I$40:$I$51))/POZICIE_INTERNE!$B$40)),0)+IFERROR(IF((EXTERNE_POZICIE!$B$41-12*('TCO TO BE- SW'!$D157-1))&gt;12,((P$4+'TCO TO BE - HW'!P$4)/($E$4+'TCO TO BE - HW'!$E$4)*SUM(EXTERNE_POZICIE!$M$41:$M$52)*1.23)/EXTERNE_POZICIE!$B$41*12,IF((EXTERNE_POZICIE!$B$41-12*('TCO TO BE- SW'!$D157-1))&lt;0,0,(EXTERNE_POZICIE!$B$41-12*('TCO TO BE- SW'!$D157-1))*((P$4+'TCO TO BE - HW'!P$4)/($E$4+'TCO TO BE - HW'!$E$4)*SUM(EXTERNE_POZICIE!$M$41:$M$52)*1.23)/EXTERNE_POZICIE!$B$41)),0)+IFERROR(SUM(#REF!)*'TCO TO BE- SW'!P$4/'TCO TO BE- SW'!$E$4,0)</f>
        <v>0</v>
      </c>
      <c r="Q157" s="565">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HW'!$E$4)*SUM(POZICIE_INTERNE!$I$40:$I$51))/POZICIE_INTERNE!$B$40)),0)+IFERROR(IF((EXTERNE_POZICIE!$B$41-12*('TCO TO BE- SW'!$D157-1))&gt;12,((Q$4+'TCO TO BE - HW'!Q$4)/($E$4+'TCO TO BE - HW'!$E$4)*SUM(EXTERNE_POZICIE!$M$41:$M$52)*1.23)/EXTERNE_POZICIE!$B$41*12,IF((EXTERNE_POZICIE!$B$41-12*('TCO TO BE- SW'!$D157-1))&lt;0,0,(EXTERNE_POZICIE!$B$41-12*('TCO TO BE- SW'!$D157-1))*((Q$4+'TCO TO BE - HW'!Q$4)/($E$4+'TCO TO BE - HW'!$E$4)*SUM(EXTERNE_POZICIE!$M$41:$M$52)*1.23)/EXTERNE_POZICIE!$B$41)),0)+IFERROR(SUM(#REF!)*'TCO TO BE- SW'!Q$4/'TCO TO BE- SW'!$E$4,0)</f>
        <v>0</v>
      </c>
      <c r="R157" s="565">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HW'!$E$4)*SUM(POZICIE_INTERNE!$I$40:$I$51))/POZICIE_INTERNE!$B$40)),0)+IFERROR(IF((EXTERNE_POZICIE!$B$41-12*('TCO TO BE- SW'!$D157-1))&gt;12,((R$4+'TCO TO BE - HW'!R$4)/($E$4+'TCO TO BE - HW'!$E$4)*SUM(EXTERNE_POZICIE!$M$41:$M$52)*1.23)/EXTERNE_POZICIE!$B$41*12,IF((EXTERNE_POZICIE!$B$41-12*('TCO TO BE- SW'!$D157-1))&lt;0,0,(EXTERNE_POZICIE!$B$41-12*('TCO TO BE- SW'!$D157-1))*((R$4+'TCO TO BE - HW'!R$4)/($E$4+'TCO TO BE - HW'!$E$4)*SUM(EXTERNE_POZICIE!$M$41:$M$52)*1.23)/EXTERNE_POZICIE!$B$41)),0)+IFERROR(SUM(#REF!)*'TCO TO BE- SW'!R$4/'TCO TO BE- SW'!$E$4,0)</f>
        <v>0</v>
      </c>
      <c r="S157" s="565">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HW'!$E$4)*SUM(POZICIE_INTERNE!$I$40:$I$51))/POZICIE_INTERNE!$B$40)),0)+IFERROR(IF((EXTERNE_POZICIE!$B$41-12*('TCO TO BE- SW'!$D157-1))&gt;12,((S$4+'TCO TO BE - HW'!S$4)/($E$4+'TCO TO BE - HW'!$E$4)*SUM(EXTERNE_POZICIE!$M$41:$M$52)*1.23)/EXTERNE_POZICIE!$B$41*12,IF((EXTERNE_POZICIE!$B$41-12*('TCO TO BE- SW'!$D157-1))&lt;0,0,(EXTERNE_POZICIE!$B$41-12*('TCO TO BE- SW'!$D157-1))*((S$4+'TCO TO BE - HW'!S$4)/($E$4+'TCO TO BE - HW'!$E$4)*SUM(EXTERNE_POZICIE!$M$41:$M$52)*1.23)/EXTERNE_POZICIE!$B$41)),0)+IFERROR(SUM(#REF!)*'TCO TO BE- SW'!S$4/'TCO TO BE- SW'!$E$4,0)</f>
        <v>0</v>
      </c>
      <c r="T157" s="565">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HW'!$E$4)*SUM(POZICIE_INTERNE!$I$40:$I$51))/POZICIE_INTERNE!$B$40)),0)+IFERROR(IF((EXTERNE_POZICIE!$B$41-12*('TCO TO BE- SW'!$D157-1))&gt;12,((T$4+'TCO TO BE - HW'!T$4)/($E$4+'TCO TO BE - HW'!$E$4)*SUM(EXTERNE_POZICIE!$M$41:$M$52)*1.23)/EXTERNE_POZICIE!$B$41*12,IF((EXTERNE_POZICIE!$B$41-12*('TCO TO BE- SW'!$D157-1))&lt;0,0,(EXTERNE_POZICIE!$B$41-12*('TCO TO BE- SW'!$D157-1))*((T$4+'TCO TO BE - HW'!T$4)/($E$4+'TCO TO BE - HW'!$E$4)*SUM(EXTERNE_POZICIE!$M$41:$M$52)*1.23)/EXTERNE_POZICIE!$B$41)),0)+IFERROR(SUM(#REF!)*'TCO TO BE- SW'!T$4/'TCO TO BE- SW'!$E$4,0)</f>
        <v>0</v>
      </c>
      <c r="U157" s="565">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HW'!$E$4)*SUM(POZICIE_INTERNE!$I$40:$I$51))/POZICIE_INTERNE!$B$40)),0)+IFERROR(IF((EXTERNE_POZICIE!$B$41-12*('TCO TO BE- SW'!$D157-1))&gt;12,((U$4+'TCO TO BE - HW'!U$4)/($E$4+'TCO TO BE - HW'!$E$4)*SUM(EXTERNE_POZICIE!$M$41:$M$52)*1.23)/EXTERNE_POZICIE!$B$41*12,IF((EXTERNE_POZICIE!$B$41-12*('TCO TO BE- SW'!$D157-1))&lt;0,0,(EXTERNE_POZICIE!$B$41-12*('TCO TO BE- SW'!$D157-1))*((U$4+'TCO TO BE - HW'!U$4)/($E$4+'TCO TO BE - HW'!$E$4)*SUM(EXTERNE_POZICIE!$M$41:$M$52)*1.23)/EXTERNE_POZICIE!$B$41)),0)+IFERROR(SUM(#REF!)*'TCO TO BE- SW'!U$4/'TCO TO BE- SW'!$E$4,0)</f>
        <v>0</v>
      </c>
      <c r="V157" s="565">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HW'!$E$4)*SUM(POZICIE_INTERNE!$I$40:$I$51))/POZICIE_INTERNE!$B$40)),0)+IFERROR(IF((EXTERNE_POZICIE!$B$41-12*('TCO TO BE- SW'!$D157-1))&gt;12,((V$4+'TCO TO BE - HW'!V$4)/($E$4+'TCO TO BE - HW'!$E$4)*SUM(EXTERNE_POZICIE!$M$41:$M$52)*1.23)/EXTERNE_POZICIE!$B$41*12,IF((EXTERNE_POZICIE!$B$41-12*('TCO TO BE- SW'!$D157-1))&lt;0,0,(EXTERNE_POZICIE!$B$41-12*('TCO TO BE- SW'!$D157-1))*((V$4+'TCO TO BE - HW'!V$4)/($E$4+'TCO TO BE - HW'!$E$4)*SUM(EXTERNE_POZICIE!$M$41:$M$52)*1.23)/EXTERNE_POZICIE!$B$41)),0)+IFERROR(SUM(#REF!)*'TCO TO BE- SW'!V$4/'TCO TO BE- SW'!$E$4,0)</f>
        <v>0</v>
      </c>
      <c r="W157" s="565">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HW'!$E$4)*SUM(POZICIE_INTERNE!$I$40:$I$51))/POZICIE_INTERNE!$B$40)),0)+IFERROR(IF((EXTERNE_POZICIE!$B$41-12*('TCO TO BE- SW'!$D157-1))&gt;12,((W$4+'TCO TO BE - HW'!W$4)/($E$4+'TCO TO BE - HW'!$E$4)*SUM(EXTERNE_POZICIE!$M$41:$M$52)*1.23)/EXTERNE_POZICIE!$B$41*12,IF((EXTERNE_POZICIE!$B$41-12*('TCO TO BE- SW'!$D157-1))&lt;0,0,(EXTERNE_POZICIE!$B$41-12*('TCO TO BE- SW'!$D157-1))*((W$4+'TCO TO BE - HW'!W$4)/($E$4+'TCO TO BE - HW'!$E$4)*SUM(EXTERNE_POZICIE!$M$41:$M$52)*1.23)/EXTERNE_POZICIE!$B$41)),0)+IFERROR(SUM(#REF!)*'TCO TO BE- SW'!W$4/'TCO TO BE- SW'!$E$4,0)</f>
        <v>0</v>
      </c>
      <c r="X157" s="565">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HW'!$E$4)*SUM(POZICIE_INTERNE!$I$40:$I$51))/POZICIE_INTERNE!$B$40)),0)+IFERROR(IF((EXTERNE_POZICIE!$B$41-12*('TCO TO BE- SW'!$D157-1))&gt;12,((X$4+'TCO TO BE - HW'!X$4)/($E$4+'TCO TO BE - HW'!$E$4)*SUM(EXTERNE_POZICIE!$M$41:$M$52)*1.23)/EXTERNE_POZICIE!$B$41*12,IF((EXTERNE_POZICIE!$B$41-12*('TCO TO BE- SW'!$D157-1))&lt;0,0,(EXTERNE_POZICIE!$B$41-12*('TCO TO BE- SW'!$D157-1))*((X$4+'TCO TO BE - HW'!X$4)/($E$4+'TCO TO BE - HW'!$E$4)*SUM(EXTERNE_POZICIE!$M$41:$M$52)*1.23)/EXTERNE_POZICIE!$B$41)),0)+IFERROR(SUM(#REF!)*'TCO TO BE- SW'!X$4/'TCO TO BE- SW'!$E$4,0)</f>
        <v>0</v>
      </c>
      <c r="Y157" s="565">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HW'!$E$4)*SUM(POZICIE_INTERNE!$I$40:$I$51))/POZICIE_INTERNE!$B$40)),0)+IFERROR(IF((EXTERNE_POZICIE!$B$41-12*('TCO TO BE- SW'!$D157-1))&gt;12,((Y$4+'TCO TO BE - HW'!Y$4)/($E$4+'TCO TO BE - HW'!$E$4)*SUM(EXTERNE_POZICIE!$M$41:$M$52)*1.23)/EXTERNE_POZICIE!$B$41*12,IF((EXTERNE_POZICIE!$B$41-12*('TCO TO BE- SW'!$D157-1))&lt;0,0,(EXTERNE_POZICIE!$B$41-12*('TCO TO BE- SW'!$D157-1))*((Y$4+'TCO TO BE - HW'!Y$4)/($E$4+'TCO TO BE - HW'!$E$4)*SUM(EXTERNE_POZICIE!$M$41:$M$52)*1.23)/EXTERNE_POZICIE!$B$41)),0)+IFERROR(SUM(#REF!)*'TCO TO BE- SW'!Y$4/'TCO TO BE- SW'!$E$4,0)</f>
        <v>0</v>
      </c>
      <c r="Z157" s="565">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HW'!$E$4)*SUM(POZICIE_INTERNE!$I$40:$I$51))/POZICIE_INTERNE!$B$40)),0)+IFERROR(IF((EXTERNE_POZICIE!$B$41-12*('TCO TO BE- SW'!$D157-1))&gt;12,((Z$4+'TCO TO BE - HW'!Z$4)/($E$4+'TCO TO BE - HW'!$E$4)*SUM(EXTERNE_POZICIE!$M$41:$M$52)*1.23)/EXTERNE_POZICIE!$B$41*12,IF((EXTERNE_POZICIE!$B$41-12*('TCO TO BE- SW'!$D157-1))&lt;0,0,(EXTERNE_POZICIE!$B$41-12*('TCO TO BE- SW'!$D157-1))*((Z$4+'TCO TO BE - HW'!Z$4)/($E$4+'TCO TO BE - HW'!$E$4)*SUM(EXTERNE_POZICIE!$M$41:$M$52)*1.23)/EXTERNE_POZICIE!$B$41)),0)+IFERROR(SUM(#REF!)*'TCO TO BE- SW'!Z$4/'TCO TO BE- SW'!$E$4,0)</f>
        <v>0</v>
      </c>
    </row>
    <row r="158" spans="1:26">
      <c r="A158" s="807"/>
      <c r="B158" s="808"/>
      <c r="C158" s="808"/>
      <c r="D158" s="64">
        <v>8</v>
      </c>
      <c r="E158" s="68">
        <f t="shared" si="16"/>
        <v>0</v>
      </c>
      <c r="F158" s="565">
        <f>IFERROR(IF((POZICIE_INTERNE!$B$40-12*('TCO TO BE- SW'!$D158-1))&gt;12,((F$4+'TCO TO BE - HW'!F$4)/($E$4+'TCO TO BE - HW'!$E$4)*SUM(POZICIE_INTERNE!$I$40:$I$51))/POZICIE_INTERNE!$B$40*12,IF((POZICIE_INTERNE!$B$40-12*('TCO TO BE- SW'!$D158-1))&lt;0,0,(POZICIE_INTERNE!$B$40-12*('TCO TO BE- SW'!$D158-1))*((F$4+'TCO TO BE - HW'!F$4)/($E$4+'TCO TO BE - HW'!$E$4)*SUM(POZICIE_INTERNE!$I$40:$I$51))/POZICIE_INTERNE!$B$40)),0)+IFERROR(IF((EXTERNE_POZICIE!$B$41-12*('TCO TO BE- SW'!$D158-1))&gt;12,((F$4+'TCO TO BE - HW'!F$4)/($E$4+'TCO TO BE - HW'!$E$4)*SUM(EXTERNE_POZICIE!$M$41:$M$52)*1.23)/EXTERNE_POZICIE!$B$41*12,IF((EXTERNE_POZICIE!$B$41-12*('TCO TO BE- SW'!$D158-1))&lt;0,0,(EXTERNE_POZICIE!$B$41-12*('TCO TO BE- SW'!$D158-1))*((F$4+'TCO TO BE - HW'!F$4)/($E$4+'TCO TO BE - HW'!$E$4)*SUM(EXTERNE_POZICIE!$M$41:$M$52)*1.23)/EXTERNE_POZICIE!$B$41)),0)+IFERROR(SUM(#REF!)*'TCO TO BE- SW'!F$4/'TCO TO BE- SW'!$E$4,0)</f>
        <v>0</v>
      </c>
      <c r="G158" s="565">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HW'!$E$4)*SUM(POZICIE_INTERNE!$I$40:$I$51))/POZICIE_INTERNE!$B$40)),0)+IFERROR(IF((EXTERNE_POZICIE!$B$41-12*('TCO TO BE- SW'!$D158-1))&gt;12,((G$4+'TCO TO BE - HW'!G$4)/($E$4+'TCO TO BE - HW'!$E$4)*SUM(EXTERNE_POZICIE!$M$41:$M$52)*1.23)/EXTERNE_POZICIE!$B$41*12,IF((EXTERNE_POZICIE!$B$41-12*('TCO TO BE- SW'!$D158-1))&lt;0,0,(EXTERNE_POZICIE!$B$41-12*('TCO TO BE- SW'!$D158-1))*((G$4+'TCO TO BE - HW'!G$4)/($E$4+'TCO TO BE - HW'!$E$4)*SUM(EXTERNE_POZICIE!$M$41:$M$52)*1.23)/EXTERNE_POZICIE!$B$41)),0)+IFERROR(SUM(#REF!)*'TCO TO BE- SW'!G$4/'TCO TO BE- SW'!$E$4,0)</f>
        <v>0</v>
      </c>
      <c r="H158" s="565">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HW'!$E$4)*SUM(POZICIE_INTERNE!$I$40:$I$51))/POZICIE_INTERNE!$B$40)),0)+IFERROR(IF((EXTERNE_POZICIE!$B$41-12*('TCO TO BE- SW'!$D158-1))&gt;12,((H$4+'TCO TO BE - HW'!H$4)/($E$4+'TCO TO BE - HW'!$E$4)*SUM(EXTERNE_POZICIE!$M$41:$M$52)*1.23)/EXTERNE_POZICIE!$B$41*12,IF((EXTERNE_POZICIE!$B$41-12*('TCO TO BE- SW'!$D158-1))&lt;0,0,(EXTERNE_POZICIE!$B$41-12*('TCO TO BE- SW'!$D158-1))*((H$4+'TCO TO BE - HW'!H$4)/($E$4+'TCO TO BE - HW'!$E$4)*SUM(EXTERNE_POZICIE!$M$41:$M$52)*1.23)/EXTERNE_POZICIE!$B$41)),0)+IFERROR(SUM(#REF!)*'TCO TO BE- SW'!H$4/'TCO TO BE- SW'!$E$4,0)</f>
        <v>0</v>
      </c>
      <c r="I158" s="565">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HW'!$E$4)*SUM(POZICIE_INTERNE!$I$40:$I$51))/POZICIE_INTERNE!$B$40)),0)+IFERROR(IF((EXTERNE_POZICIE!$B$41-12*('TCO TO BE- SW'!$D158-1))&gt;12,((I$4+'TCO TO BE - HW'!I$4)/($E$4+'TCO TO BE - HW'!$E$4)*SUM(EXTERNE_POZICIE!$M$41:$M$52)*1.23)/EXTERNE_POZICIE!$B$41*12,IF((EXTERNE_POZICIE!$B$41-12*('TCO TO BE- SW'!$D158-1))&lt;0,0,(EXTERNE_POZICIE!$B$41-12*('TCO TO BE- SW'!$D158-1))*((I$4+'TCO TO BE - HW'!I$4)/($E$4+'TCO TO BE - HW'!$E$4)*SUM(EXTERNE_POZICIE!$M$41:$M$52)*1.23)/EXTERNE_POZICIE!$B$41)),0)+IFERROR(SUM(#REF!)*'TCO TO BE- SW'!I$4/'TCO TO BE- SW'!$E$4,0)</f>
        <v>0</v>
      </c>
      <c r="J158" s="565">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HW'!$E$4)*SUM(POZICIE_INTERNE!$I$40:$I$51))/POZICIE_INTERNE!$B$40)),0)+IFERROR(IF((EXTERNE_POZICIE!$B$41-12*('TCO TO BE- SW'!$D158-1))&gt;12,((J$4+'TCO TO BE - HW'!J$4)/($E$4+'TCO TO BE - HW'!$E$4)*SUM(EXTERNE_POZICIE!$M$41:$M$52)*1.23)/EXTERNE_POZICIE!$B$41*12,IF((EXTERNE_POZICIE!$B$41-12*('TCO TO BE- SW'!$D158-1))&lt;0,0,(EXTERNE_POZICIE!$B$41-12*('TCO TO BE- SW'!$D158-1))*((J$4+'TCO TO BE - HW'!J$4)/($E$4+'TCO TO BE - HW'!$E$4)*SUM(EXTERNE_POZICIE!$M$41:$M$52)*1.23)/EXTERNE_POZICIE!$B$41)),0)+IFERROR(SUM(#REF!)*'TCO TO BE- SW'!J$4/'TCO TO BE- SW'!$E$4,0)</f>
        <v>0</v>
      </c>
      <c r="K158" s="565">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HW'!$E$4)*SUM(POZICIE_INTERNE!$I$40:$I$51))/POZICIE_INTERNE!$B$40)),0)+IFERROR(IF((EXTERNE_POZICIE!$B$41-12*('TCO TO BE- SW'!$D158-1))&gt;12,((K$4+'TCO TO BE - HW'!K$4)/($E$4+'TCO TO BE - HW'!$E$4)*SUM(EXTERNE_POZICIE!$M$41:$M$52)*1.23)/EXTERNE_POZICIE!$B$41*12,IF((EXTERNE_POZICIE!$B$41-12*('TCO TO BE- SW'!$D158-1))&lt;0,0,(EXTERNE_POZICIE!$B$41-12*('TCO TO BE- SW'!$D158-1))*((K$4+'TCO TO BE - HW'!K$4)/($E$4+'TCO TO BE - HW'!$E$4)*SUM(EXTERNE_POZICIE!$M$41:$M$52)*1.23)/EXTERNE_POZICIE!$B$41)),0)+IFERROR(SUM(#REF!)*'TCO TO BE- SW'!K$4/'TCO TO BE- SW'!$E$4,0)</f>
        <v>0</v>
      </c>
      <c r="L158" s="565">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HW'!$E$4)*SUM(POZICIE_INTERNE!$I$40:$I$51))/POZICIE_INTERNE!$B$40)),0)+IFERROR(IF((EXTERNE_POZICIE!$B$41-12*('TCO TO BE- SW'!$D158-1))&gt;12,((L$4+'TCO TO BE - HW'!L$4)/($E$4+'TCO TO BE - HW'!$E$4)*SUM(EXTERNE_POZICIE!$M$41:$M$52)*1.23)/EXTERNE_POZICIE!$B$41*12,IF((EXTERNE_POZICIE!$B$41-12*('TCO TO BE- SW'!$D158-1))&lt;0,0,(EXTERNE_POZICIE!$B$41-12*('TCO TO BE- SW'!$D158-1))*((L$4+'TCO TO BE - HW'!L$4)/($E$4+'TCO TO BE - HW'!$E$4)*SUM(EXTERNE_POZICIE!$M$41:$M$52)*1.23)/EXTERNE_POZICIE!$B$41)),0)+IFERROR(SUM(#REF!)*'TCO TO BE- SW'!L$4/'TCO TO BE- SW'!$E$4,0)</f>
        <v>0</v>
      </c>
      <c r="M158" s="565">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HW'!$E$4)*SUM(POZICIE_INTERNE!$I$40:$I$51))/POZICIE_INTERNE!$B$40)),0)+IFERROR(IF((EXTERNE_POZICIE!$B$41-12*('TCO TO BE- SW'!$D158-1))&gt;12,((M$4+'TCO TO BE - HW'!M$4)/($E$4+'TCO TO BE - HW'!$E$4)*SUM(EXTERNE_POZICIE!$M$41:$M$52)*1.23)/EXTERNE_POZICIE!$B$41*12,IF((EXTERNE_POZICIE!$B$41-12*('TCO TO BE- SW'!$D158-1))&lt;0,0,(EXTERNE_POZICIE!$B$41-12*('TCO TO BE- SW'!$D158-1))*((M$4+'TCO TO BE - HW'!M$4)/($E$4+'TCO TO BE - HW'!$E$4)*SUM(EXTERNE_POZICIE!$M$41:$M$52)*1.23)/EXTERNE_POZICIE!$B$41)),0)+IFERROR(SUM(#REF!)*'TCO TO BE- SW'!M$4/'TCO TO BE- SW'!$E$4,0)</f>
        <v>0</v>
      </c>
      <c r="N158" s="565">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HW'!$E$4)*SUM(POZICIE_INTERNE!$I$40:$I$51))/POZICIE_INTERNE!$B$40)),0)+IFERROR(IF((EXTERNE_POZICIE!$B$41-12*('TCO TO BE- SW'!$D158-1))&gt;12,((N$4+'TCO TO BE - HW'!N$4)/($E$4+'TCO TO BE - HW'!$E$4)*SUM(EXTERNE_POZICIE!$M$41:$M$52)*1.23)/EXTERNE_POZICIE!$B$41*12,IF((EXTERNE_POZICIE!$B$41-12*('TCO TO BE- SW'!$D158-1))&lt;0,0,(EXTERNE_POZICIE!$B$41-12*('TCO TO BE- SW'!$D158-1))*((N$4+'TCO TO BE - HW'!N$4)/($E$4+'TCO TO BE - HW'!$E$4)*SUM(EXTERNE_POZICIE!$M$41:$M$52)*1.23)/EXTERNE_POZICIE!$B$41)),0)+IFERROR(SUM(#REF!)*'TCO TO BE- SW'!N$4/'TCO TO BE- SW'!$E$4,0)</f>
        <v>0</v>
      </c>
      <c r="O158" s="565">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HW'!$E$4)*SUM(POZICIE_INTERNE!$I$40:$I$51))/POZICIE_INTERNE!$B$40)),0)+IFERROR(IF((EXTERNE_POZICIE!$B$41-12*('TCO TO BE- SW'!$D158-1))&gt;12,((O$4+'TCO TO BE - HW'!O$4)/($E$4+'TCO TO BE - HW'!$E$4)*SUM(EXTERNE_POZICIE!$M$41:$M$52)*1.23)/EXTERNE_POZICIE!$B$41*12,IF((EXTERNE_POZICIE!$B$41-12*('TCO TO BE- SW'!$D158-1))&lt;0,0,(EXTERNE_POZICIE!$B$41-12*('TCO TO BE- SW'!$D158-1))*((O$4+'TCO TO BE - HW'!O$4)/($E$4+'TCO TO BE - HW'!$E$4)*SUM(EXTERNE_POZICIE!$M$41:$M$52)*1.23)/EXTERNE_POZICIE!$B$41)),0)+IFERROR(SUM(#REF!)*'TCO TO BE- SW'!O$4/'TCO TO BE- SW'!$E$4,0)</f>
        <v>0</v>
      </c>
      <c r="P158" s="565">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HW'!$E$4)*SUM(POZICIE_INTERNE!$I$40:$I$51))/POZICIE_INTERNE!$B$40)),0)+IFERROR(IF((EXTERNE_POZICIE!$B$41-12*('TCO TO BE- SW'!$D158-1))&gt;12,((P$4+'TCO TO BE - HW'!P$4)/($E$4+'TCO TO BE - HW'!$E$4)*SUM(EXTERNE_POZICIE!$M$41:$M$52)*1.23)/EXTERNE_POZICIE!$B$41*12,IF((EXTERNE_POZICIE!$B$41-12*('TCO TO BE- SW'!$D158-1))&lt;0,0,(EXTERNE_POZICIE!$B$41-12*('TCO TO BE- SW'!$D158-1))*((P$4+'TCO TO BE - HW'!P$4)/($E$4+'TCO TO BE - HW'!$E$4)*SUM(EXTERNE_POZICIE!$M$41:$M$52)*1.23)/EXTERNE_POZICIE!$B$41)),0)+IFERROR(SUM(#REF!)*'TCO TO BE- SW'!P$4/'TCO TO BE- SW'!$E$4,0)</f>
        <v>0</v>
      </c>
      <c r="Q158" s="565">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HW'!$E$4)*SUM(POZICIE_INTERNE!$I$40:$I$51))/POZICIE_INTERNE!$B$40)),0)+IFERROR(IF((EXTERNE_POZICIE!$B$41-12*('TCO TO BE- SW'!$D158-1))&gt;12,((Q$4+'TCO TO BE - HW'!Q$4)/($E$4+'TCO TO BE - HW'!$E$4)*SUM(EXTERNE_POZICIE!$M$41:$M$52)*1.23)/EXTERNE_POZICIE!$B$41*12,IF((EXTERNE_POZICIE!$B$41-12*('TCO TO BE- SW'!$D158-1))&lt;0,0,(EXTERNE_POZICIE!$B$41-12*('TCO TO BE- SW'!$D158-1))*((Q$4+'TCO TO BE - HW'!Q$4)/($E$4+'TCO TO BE - HW'!$E$4)*SUM(EXTERNE_POZICIE!$M$41:$M$52)*1.23)/EXTERNE_POZICIE!$B$41)),0)+IFERROR(SUM(#REF!)*'TCO TO BE- SW'!Q$4/'TCO TO BE- SW'!$E$4,0)</f>
        <v>0</v>
      </c>
      <c r="R158" s="565">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HW'!$E$4)*SUM(POZICIE_INTERNE!$I$40:$I$51))/POZICIE_INTERNE!$B$40)),0)+IFERROR(IF((EXTERNE_POZICIE!$B$41-12*('TCO TO BE- SW'!$D158-1))&gt;12,((R$4+'TCO TO BE - HW'!R$4)/($E$4+'TCO TO BE - HW'!$E$4)*SUM(EXTERNE_POZICIE!$M$41:$M$52)*1.23)/EXTERNE_POZICIE!$B$41*12,IF((EXTERNE_POZICIE!$B$41-12*('TCO TO BE- SW'!$D158-1))&lt;0,0,(EXTERNE_POZICIE!$B$41-12*('TCO TO BE- SW'!$D158-1))*((R$4+'TCO TO BE - HW'!R$4)/($E$4+'TCO TO BE - HW'!$E$4)*SUM(EXTERNE_POZICIE!$M$41:$M$52)*1.23)/EXTERNE_POZICIE!$B$41)),0)+IFERROR(SUM(#REF!)*'TCO TO BE- SW'!R$4/'TCO TO BE- SW'!$E$4,0)</f>
        <v>0</v>
      </c>
      <c r="S158" s="565">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HW'!$E$4)*SUM(POZICIE_INTERNE!$I$40:$I$51))/POZICIE_INTERNE!$B$40)),0)+IFERROR(IF((EXTERNE_POZICIE!$B$41-12*('TCO TO BE- SW'!$D158-1))&gt;12,((S$4+'TCO TO BE - HW'!S$4)/($E$4+'TCO TO BE - HW'!$E$4)*SUM(EXTERNE_POZICIE!$M$41:$M$52)*1.23)/EXTERNE_POZICIE!$B$41*12,IF((EXTERNE_POZICIE!$B$41-12*('TCO TO BE- SW'!$D158-1))&lt;0,0,(EXTERNE_POZICIE!$B$41-12*('TCO TO BE- SW'!$D158-1))*((S$4+'TCO TO BE - HW'!S$4)/($E$4+'TCO TO BE - HW'!$E$4)*SUM(EXTERNE_POZICIE!$M$41:$M$52)*1.23)/EXTERNE_POZICIE!$B$41)),0)+IFERROR(SUM(#REF!)*'TCO TO BE- SW'!S$4/'TCO TO BE- SW'!$E$4,0)</f>
        <v>0</v>
      </c>
      <c r="T158" s="565">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HW'!$E$4)*SUM(POZICIE_INTERNE!$I$40:$I$51))/POZICIE_INTERNE!$B$40)),0)+IFERROR(IF((EXTERNE_POZICIE!$B$41-12*('TCO TO BE- SW'!$D158-1))&gt;12,((T$4+'TCO TO BE - HW'!T$4)/($E$4+'TCO TO BE - HW'!$E$4)*SUM(EXTERNE_POZICIE!$M$41:$M$52)*1.23)/EXTERNE_POZICIE!$B$41*12,IF((EXTERNE_POZICIE!$B$41-12*('TCO TO BE- SW'!$D158-1))&lt;0,0,(EXTERNE_POZICIE!$B$41-12*('TCO TO BE- SW'!$D158-1))*((T$4+'TCO TO BE - HW'!T$4)/($E$4+'TCO TO BE - HW'!$E$4)*SUM(EXTERNE_POZICIE!$M$41:$M$52)*1.23)/EXTERNE_POZICIE!$B$41)),0)+IFERROR(SUM(#REF!)*'TCO TO BE- SW'!T$4/'TCO TO BE- SW'!$E$4,0)</f>
        <v>0</v>
      </c>
      <c r="U158" s="565">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HW'!$E$4)*SUM(POZICIE_INTERNE!$I$40:$I$51))/POZICIE_INTERNE!$B$40)),0)+IFERROR(IF((EXTERNE_POZICIE!$B$41-12*('TCO TO BE- SW'!$D158-1))&gt;12,((U$4+'TCO TO BE - HW'!U$4)/($E$4+'TCO TO BE - HW'!$E$4)*SUM(EXTERNE_POZICIE!$M$41:$M$52)*1.23)/EXTERNE_POZICIE!$B$41*12,IF((EXTERNE_POZICIE!$B$41-12*('TCO TO BE- SW'!$D158-1))&lt;0,0,(EXTERNE_POZICIE!$B$41-12*('TCO TO BE- SW'!$D158-1))*((U$4+'TCO TO BE - HW'!U$4)/($E$4+'TCO TO BE - HW'!$E$4)*SUM(EXTERNE_POZICIE!$M$41:$M$52)*1.23)/EXTERNE_POZICIE!$B$41)),0)+IFERROR(SUM(#REF!)*'TCO TO BE- SW'!U$4/'TCO TO BE- SW'!$E$4,0)</f>
        <v>0</v>
      </c>
      <c r="V158" s="565">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HW'!$E$4)*SUM(POZICIE_INTERNE!$I$40:$I$51))/POZICIE_INTERNE!$B$40)),0)+IFERROR(IF((EXTERNE_POZICIE!$B$41-12*('TCO TO BE- SW'!$D158-1))&gt;12,((V$4+'TCO TO BE - HW'!V$4)/($E$4+'TCO TO BE - HW'!$E$4)*SUM(EXTERNE_POZICIE!$M$41:$M$52)*1.23)/EXTERNE_POZICIE!$B$41*12,IF((EXTERNE_POZICIE!$B$41-12*('TCO TO BE- SW'!$D158-1))&lt;0,0,(EXTERNE_POZICIE!$B$41-12*('TCO TO BE- SW'!$D158-1))*((V$4+'TCO TO BE - HW'!V$4)/($E$4+'TCO TO BE - HW'!$E$4)*SUM(EXTERNE_POZICIE!$M$41:$M$52)*1.23)/EXTERNE_POZICIE!$B$41)),0)+IFERROR(SUM(#REF!)*'TCO TO BE- SW'!V$4/'TCO TO BE- SW'!$E$4,0)</f>
        <v>0</v>
      </c>
      <c r="W158" s="565">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HW'!$E$4)*SUM(POZICIE_INTERNE!$I$40:$I$51))/POZICIE_INTERNE!$B$40)),0)+IFERROR(IF((EXTERNE_POZICIE!$B$41-12*('TCO TO BE- SW'!$D158-1))&gt;12,((W$4+'TCO TO BE - HW'!W$4)/($E$4+'TCO TO BE - HW'!$E$4)*SUM(EXTERNE_POZICIE!$M$41:$M$52)*1.23)/EXTERNE_POZICIE!$B$41*12,IF((EXTERNE_POZICIE!$B$41-12*('TCO TO BE- SW'!$D158-1))&lt;0,0,(EXTERNE_POZICIE!$B$41-12*('TCO TO BE- SW'!$D158-1))*((W$4+'TCO TO BE - HW'!W$4)/($E$4+'TCO TO BE - HW'!$E$4)*SUM(EXTERNE_POZICIE!$M$41:$M$52)*1.23)/EXTERNE_POZICIE!$B$41)),0)+IFERROR(SUM(#REF!)*'TCO TO BE- SW'!W$4/'TCO TO BE- SW'!$E$4,0)</f>
        <v>0</v>
      </c>
      <c r="X158" s="565">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HW'!$E$4)*SUM(POZICIE_INTERNE!$I$40:$I$51))/POZICIE_INTERNE!$B$40)),0)+IFERROR(IF((EXTERNE_POZICIE!$B$41-12*('TCO TO BE- SW'!$D158-1))&gt;12,((X$4+'TCO TO BE - HW'!X$4)/($E$4+'TCO TO BE - HW'!$E$4)*SUM(EXTERNE_POZICIE!$M$41:$M$52)*1.23)/EXTERNE_POZICIE!$B$41*12,IF((EXTERNE_POZICIE!$B$41-12*('TCO TO BE- SW'!$D158-1))&lt;0,0,(EXTERNE_POZICIE!$B$41-12*('TCO TO BE- SW'!$D158-1))*((X$4+'TCO TO BE - HW'!X$4)/($E$4+'TCO TO BE - HW'!$E$4)*SUM(EXTERNE_POZICIE!$M$41:$M$52)*1.23)/EXTERNE_POZICIE!$B$41)),0)+IFERROR(SUM(#REF!)*'TCO TO BE- SW'!X$4/'TCO TO BE- SW'!$E$4,0)</f>
        <v>0</v>
      </c>
      <c r="Y158" s="565">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HW'!$E$4)*SUM(POZICIE_INTERNE!$I$40:$I$51))/POZICIE_INTERNE!$B$40)),0)+IFERROR(IF((EXTERNE_POZICIE!$B$41-12*('TCO TO BE- SW'!$D158-1))&gt;12,((Y$4+'TCO TO BE - HW'!Y$4)/($E$4+'TCO TO BE - HW'!$E$4)*SUM(EXTERNE_POZICIE!$M$41:$M$52)*1.23)/EXTERNE_POZICIE!$B$41*12,IF((EXTERNE_POZICIE!$B$41-12*('TCO TO BE- SW'!$D158-1))&lt;0,0,(EXTERNE_POZICIE!$B$41-12*('TCO TO BE- SW'!$D158-1))*((Y$4+'TCO TO BE - HW'!Y$4)/($E$4+'TCO TO BE - HW'!$E$4)*SUM(EXTERNE_POZICIE!$M$41:$M$52)*1.23)/EXTERNE_POZICIE!$B$41)),0)+IFERROR(SUM(#REF!)*'TCO TO BE- SW'!Y$4/'TCO TO BE- SW'!$E$4,0)</f>
        <v>0</v>
      </c>
      <c r="Z158" s="565">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HW'!$E$4)*SUM(POZICIE_INTERNE!$I$40:$I$51))/POZICIE_INTERNE!$B$40)),0)+IFERROR(IF((EXTERNE_POZICIE!$B$41-12*('TCO TO BE- SW'!$D158-1))&gt;12,((Z$4+'TCO TO BE - HW'!Z$4)/($E$4+'TCO TO BE - HW'!$E$4)*SUM(EXTERNE_POZICIE!$M$41:$M$52)*1.23)/EXTERNE_POZICIE!$B$41*12,IF((EXTERNE_POZICIE!$B$41-12*('TCO TO BE- SW'!$D158-1))&lt;0,0,(EXTERNE_POZICIE!$B$41-12*('TCO TO BE- SW'!$D158-1))*((Z$4+'TCO TO BE - HW'!Z$4)/($E$4+'TCO TO BE - HW'!$E$4)*SUM(EXTERNE_POZICIE!$M$41:$M$52)*1.23)/EXTERNE_POZICIE!$B$41)),0)+IFERROR(SUM(#REF!)*'TCO TO BE- SW'!Z$4/'TCO TO BE- SW'!$E$4,0)</f>
        <v>0</v>
      </c>
    </row>
    <row r="159" spans="1:26">
      <c r="A159" s="807"/>
      <c r="B159" s="808"/>
      <c r="C159" s="808"/>
      <c r="D159" s="64">
        <v>9</v>
      </c>
      <c r="E159" s="68">
        <f t="shared" si="16"/>
        <v>0</v>
      </c>
      <c r="F159" s="565">
        <f>IFERROR(IF((POZICIE_INTERNE!$B$40-12*('TCO TO BE- SW'!$D159-1))&gt;12,((F$4+'TCO TO BE - HW'!F$4)/($E$4+'TCO TO BE - HW'!$E$4)*SUM(POZICIE_INTERNE!$I$40:$I$51))/POZICIE_INTERNE!$B$40*12,IF((POZICIE_INTERNE!$B$40-12*('TCO TO BE- SW'!$D159-1))&lt;0,0,(POZICIE_INTERNE!$B$40-12*('TCO TO BE- SW'!$D159-1))*((F$4+'TCO TO BE - HW'!F$4)/($E$4+'TCO TO BE - HW'!$E$4)*SUM(POZICIE_INTERNE!$I$40:$I$51))/POZICIE_INTERNE!$B$40)),0)+IFERROR(IF((EXTERNE_POZICIE!$B$41-12*('TCO TO BE- SW'!$D159-1))&gt;12,((F$4+'TCO TO BE - HW'!F$4)/($E$4+'TCO TO BE - HW'!$E$4)*SUM(EXTERNE_POZICIE!$M$41:$M$52)*1.23)/EXTERNE_POZICIE!$B$41*12,IF((EXTERNE_POZICIE!$B$41-12*('TCO TO BE- SW'!$D159-1))&lt;0,0,(EXTERNE_POZICIE!$B$41-12*('TCO TO BE- SW'!$D159-1))*((F$4+'TCO TO BE - HW'!F$4)/($E$4+'TCO TO BE - HW'!$E$4)*SUM(EXTERNE_POZICIE!$M$41:$M$52)*1.23)/EXTERNE_POZICIE!$B$41)),0)+IFERROR(SUM(#REF!)*'TCO TO BE- SW'!F$4/'TCO TO BE- SW'!$E$4,0)</f>
        <v>0</v>
      </c>
      <c r="G159" s="565">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HW'!$E$4)*SUM(POZICIE_INTERNE!$I$40:$I$51))/POZICIE_INTERNE!$B$40)),0)+IFERROR(IF((EXTERNE_POZICIE!$B$41-12*('TCO TO BE- SW'!$D159-1))&gt;12,((G$4+'TCO TO BE - HW'!G$4)/($E$4+'TCO TO BE - HW'!$E$4)*SUM(EXTERNE_POZICIE!$M$41:$M$52)*1.23)/EXTERNE_POZICIE!$B$41*12,IF((EXTERNE_POZICIE!$B$41-12*('TCO TO BE- SW'!$D159-1))&lt;0,0,(EXTERNE_POZICIE!$B$41-12*('TCO TO BE- SW'!$D159-1))*((G$4+'TCO TO BE - HW'!G$4)/($E$4+'TCO TO BE - HW'!$E$4)*SUM(EXTERNE_POZICIE!$M$41:$M$52)*1.23)/EXTERNE_POZICIE!$B$41)),0)+IFERROR(SUM(#REF!)*'TCO TO BE- SW'!G$4/'TCO TO BE- SW'!$E$4,0)</f>
        <v>0</v>
      </c>
      <c r="H159" s="565">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HW'!$E$4)*SUM(POZICIE_INTERNE!$I$40:$I$51))/POZICIE_INTERNE!$B$40)),0)+IFERROR(IF((EXTERNE_POZICIE!$B$41-12*('TCO TO BE- SW'!$D159-1))&gt;12,((H$4+'TCO TO BE - HW'!H$4)/($E$4+'TCO TO BE - HW'!$E$4)*SUM(EXTERNE_POZICIE!$M$41:$M$52)*1.23)/EXTERNE_POZICIE!$B$41*12,IF((EXTERNE_POZICIE!$B$41-12*('TCO TO BE- SW'!$D159-1))&lt;0,0,(EXTERNE_POZICIE!$B$41-12*('TCO TO BE- SW'!$D159-1))*((H$4+'TCO TO BE - HW'!H$4)/($E$4+'TCO TO BE - HW'!$E$4)*SUM(EXTERNE_POZICIE!$M$41:$M$52)*1.23)/EXTERNE_POZICIE!$B$41)),0)+IFERROR(SUM(#REF!)*'TCO TO BE- SW'!H$4/'TCO TO BE- SW'!$E$4,0)</f>
        <v>0</v>
      </c>
      <c r="I159" s="565">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HW'!$E$4)*SUM(POZICIE_INTERNE!$I$40:$I$51))/POZICIE_INTERNE!$B$40)),0)+IFERROR(IF((EXTERNE_POZICIE!$B$41-12*('TCO TO BE- SW'!$D159-1))&gt;12,((I$4+'TCO TO BE - HW'!I$4)/($E$4+'TCO TO BE - HW'!$E$4)*SUM(EXTERNE_POZICIE!$M$41:$M$52)*1.23)/EXTERNE_POZICIE!$B$41*12,IF((EXTERNE_POZICIE!$B$41-12*('TCO TO BE- SW'!$D159-1))&lt;0,0,(EXTERNE_POZICIE!$B$41-12*('TCO TO BE- SW'!$D159-1))*((I$4+'TCO TO BE - HW'!I$4)/($E$4+'TCO TO BE - HW'!$E$4)*SUM(EXTERNE_POZICIE!$M$41:$M$52)*1.23)/EXTERNE_POZICIE!$B$41)),0)+IFERROR(SUM(#REF!)*'TCO TO BE- SW'!I$4/'TCO TO BE- SW'!$E$4,0)</f>
        <v>0</v>
      </c>
      <c r="J159" s="565">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HW'!$E$4)*SUM(POZICIE_INTERNE!$I$40:$I$51))/POZICIE_INTERNE!$B$40)),0)+IFERROR(IF((EXTERNE_POZICIE!$B$41-12*('TCO TO BE- SW'!$D159-1))&gt;12,((J$4+'TCO TO BE - HW'!J$4)/($E$4+'TCO TO BE - HW'!$E$4)*SUM(EXTERNE_POZICIE!$M$41:$M$52)*1.23)/EXTERNE_POZICIE!$B$41*12,IF((EXTERNE_POZICIE!$B$41-12*('TCO TO BE- SW'!$D159-1))&lt;0,0,(EXTERNE_POZICIE!$B$41-12*('TCO TO BE- SW'!$D159-1))*((J$4+'TCO TO BE - HW'!J$4)/($E$4+'TCO TO BE - HW'!$E$4)*SUM(EXTERNE_POZICIE!$M$41:$M$52)*1.23)/EXTERNE_POZICIE!$B$41)),0)+IFERROR(SUM(#REF!)*'TCO TO BE- SW'!J$4/'TCO TO BE- SW'!$E$4,0)</f>
        <v>0</v>
      </c>
      <c r="K159" s="565">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HW'!$E$4)*SUM(POZICIE_INTERNE!$I$40:$I$51))/POZICIE_INTERNE!$B$40)),0)+IFERROR(IF((EXTERNE_POZICIE!$B$41-12*('TCO TO BE- SW'!$D159-1))&gt;12,((K$4+'TCO TO BE - HW'!K$4)/($E$4+'TCO TO BE - HW'!$E$4)*SUM(EXTERNE_POZICIE!$M$41:$M$52)*1.23)/EXTERNE_POZICIE!$B$41*12,IF((EXTERNE_POZICIE!$B$41-12*('TCO TO BE- SW'!$D159-1))&lt;0,0,(EXTERNE_POZICIE!$B$41-12*('TCO TO BE- SW'!$D159-1))*((K$4+'TCO TO BE - HW'!K$4)/($E$4+'TCO TO BE - HW'!$E$4)*SUM(EXTERNE_POZICIE!$M$41:$M$52)*1.23)/EXTERNE_POZICIE!$B$41)),0)+IFERROR(SUM(#REF!)*'TCO TO BE- SW'!K$4/'TCO TO BE- SW'!$E$4,0)</f>
        <v>0</v>
      </c>
      <c r="L159" s="565">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HW'!$E$4)*SUM(POZICIE_INTERNE!$I$40:$I$51))/POZICIE_INTERNE!$B$40)),0)+IFERROR(IF((EXTERNE_POZICIE!$B$41-12*('TCO TO BE- SW'!$D159-1))&gt;12,((L$4+'TCO TO BE - HW'!L$4)/($E$4+'TCO TO BE - HW'!$E$4)*SUM(EXTERNE_POZICIE!$M$41:$M$52)*1.23)/EXTERNE_POZICIE!$B$41*12,IF((EXTERNE_POZICIE!$B$41-12*('TCO TO BE- SW'!$D159-1))&lt;0,0,(EXTERNE_POZICIE!$B$41-12*('TCO TO BE- SW'!$D159-1))*((L$4+'TCO TO BE - HW'!L$4)/($E$4+'TCO TO BE - HW'!$E$4)*SUM(EXTERNE_POZICIE!$M$41:$M$52)*1.23)/EXTERNE_POZICIE!$B$41)),0)+IFERROR(SUM(#REF!)*'TCO TO BE- SW'!L$4/'TCO TO BE- SW'!$E$4,0)</f>
        <v>0</v>
      </c>
      <c r="M159" s="565">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HW'!$E$4)*SUM(POZICIE_INTERNE!$I$40:$I$51))/POZICIE_INTERNE!$B$40)),0)+IFERROR(IF((EXTERNE_POZICIE!$B$41-12*('TCO TO BE- SW'!$D159-1))&gt;12,((M$4+'TCO TO BE - HW'!M$4)/($E$4+'TCO TO BE - HW'!$E$4)*SUM(EXTERNE_POZICIE!$M$41:$M$52)*1.23)/EXTERNE_POZICIE!$B$41*12,IF((EXTERNE_POZICIE!$B$41-12*('TCO TO BE- SW'!$D159-1))&lt;0,0,(EXTERNE_POZICIE!$B$41-12*('TCO TO BE- SW'!$D159-1))*((M$4+'TCO TO BE - HW'!M$4)/($E$4+'TCO TO BE - HW'!$E$4)*SUM(EXTERNE_POZICIE!$M$41:$M$52)*1.23)/EXTERNE_POZICIE!$B$41)),0)+IFERROR(SUM(#REF!)*'TCO TO BE- SW'!M$4/'TCO TO BE- SW'!$E$4,0)</f>
        <v>0</v>
      </c>
      <c r="N159" s="565">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HW'!$E$4)*SUM(POZICIE_INTERNE!$I$40:$I$51))/POZICIE_INTERNE!$B$40)),0)+IFERROR(IF((EXTERNE_POZICIE!$B$41-12*('TCO TO BE- SW'!$D159-1))&gt;12,((N$4+'TCO TO BE - HW'!N$4)/($E$4+'TCO TO BE - HW'!$E$4)*SUM(EXTERNE_POZICIE!$M$41:$M$52)*1.23)/EXTERNE_POZICIE!$B$41*12,IF((EXTERNE_POZICIE!$B$41-12*('TCO TO BE- SW'!$D159-1))&lt;0,0,(EXTERNE_POZICIE!$B$41-12*('TCO TO BE- SW'!$D159-1))*((N$4+'TCO TO BE - HW'!N$4)/($E$4+'TCO TO BE - HW'!$E$4)*SUM(EXTERNE_POZICIE!$M$41:$M$52)*1.23)/EXTERNE_POZICIE!$B$41)),0)+IFERROR(SUM(#REF!)*'TCO TO BE- SW'!N$4/'TCO TO BE- SW'!$E$4,0)</f>
        <v>0</v>
      </c>
      <c r="O159" s="565">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HW'!$E$4)*SUM(POZICIE_INTERNE!$I$40:$I$51))/POZICIE_INTERNE!$B$40)),0)+IFERROR(IF((EXTERNE_POZICIE!$B$41-12*('TCO TO BE- SW'!$D159-1))&gt;12,((O$4+'TCO TO BE - HW'!O$4)/($E$4+'TCO TO BE - HW'!$E$4)*SUM(EXTERNE_POZICIE!$M$41:$M$52)*1.23)/EXTERNE_POZICIE!$B$41*12,IF((EXTERNE_POZICIE!$B$41-12*('TCO TO BE- SW'!$D159-1))&lt;0,0,(EXTERNE_POZICIE!$B$41-12*('TCO TO BE- SW'!$D159-1))*((O$4+'TCO TO BE - HW'!O$4)/($E$4+'TCO TO BE - HW'!$E$4)*SUM(EXTERNE_POZICIE!$M$41:$M$52)*1.23)/EXTERNE_POZICIE!$B$41)),0)+IFERROR(SUM(#REF!)*'TCO TO BE- SW'!O$4/'TCO TO BE- SW'!$E$4,0)</f>
        <v>0</v>
      </c>
      <c r="P159" s="565">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HW'!$E$4)*SUM(POZICIE_INTERNE!$I$40:$I$51))/POZICIE_INTERNE!$B$40)),0)+IFERROR(IF((EXTERNE_POZICIE!$B$41-12*('TCO TO BE- SW'!$D159-1))&gt;12,((P$4+'TCO TO BE - HW'!P$4)/($E$4+'TCO TO BE - HW'!$E$4)*SUM(EXTERNE_POZICIE!$M$41:$M$52)*1.23)/EXTERNE_POZICIE!$B$41*12,IF((EXTERNE_POZICIE!$B$41-12*('TCO TO BE- SW'!$D159-1))&lt;0,0,(EXTERNE_POZICIE!$B$41-12*('TCO TO BE- SW'!$D159-1))*((P$4+'TCO TO BE - HW'!P$4)/($E$4+'TCO TO BE - HW'!$E$4)*SUM(EXTERNE_POZICIE!$M$41:$M$52)*1.23)/EXTERNE_POZICIE!$B$41)),0)+IFERROR(SUM(#REF!)*'TCO TO BE- SW'!P$4/'TCO TO BE- SW'!$E$4,0)</f>
        <v>0</v>
      </c>
      <c r="Q159" s="565">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HW'!$E$4)*SUM(POZICIE_INTERNE!$I$40:$I$51))/POZICIE_INTERNE!$B$40)),0)+IFERROR(IF((EXTERNE_POZICIE!$B$41-12*('TCO TO BE- SW'!$D159-1))&gt;12,((Q$4+'TCO TO BE - HW'!Q$4)/($E$4+'TCO TO BE - HW'!$E$4)*SUM(EXTERNE_POZICIE!$M$41:$M$52)*1.23)/EXTERNE_POZICIE!$B$41*12,IF((EXTERNE_POZICIE!$B$41-12*('TCO TO BE- SW'!$D159-1))&lt;0,0,(EXTERNE_POZICIE!$B$41-12*('TCO TO BE- SW'!$D159-1))*((Q$4+'TCO TO BE - HW'!Q$4)/($E$4+'TCO TO BE - HW'!$E$4)*SUM(EXTERNE_POZICIE!$M$41:$M$52)*1.23)/EXTERNE_POZICIE!$B$41)),0)+IFERROR(SUM(#REF!)*'TCO TO BE- SW'!Q$4/'TCO TO BE- SW'!$E$4,0)</f>
        <v>0</v>
      </c>
      <c r="R159" s="565">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HW'!$E$4)*SUM(POZICIE_INTERNE!$I$40:$I$51))/POZICIE_INTERNE!$B$40)),0)+IFERROR(IF((EXTERNE_POZICIE!$B$41-12*('TCO TO BE- SW'!$D159-1))&gt;12,((R$4+'TCO TO BE - HW'!R$4)/($E$4+'TCO TO BE - HW'!$E$4)*SUM(EXTERNE_POZICIE!$M$41:$M$52)*1.23)/EXTERNE_POZICIE!$B$41*12,IF((EXTERNE_POZICIE!$B$41-12*('TCO TO BE- SW'!$D159-1))&lt;0,0,(EXTERNE_POZICIE!$B$41-12*('TCO TO BE- SW'!$D159-1))*((R$4+'TCO TO BE - HW'!R$4)/($E$4+'TCO TO BE - HW'!$E$4)*SUM(EXTERNE_POZICIE!$M$41:$M$52)*1.23)/EXTERNE_POZICIE!$B$41)),0)+IFERROR(SUM(#REF!)*'TCO TO BE- SW'!R$4/'TCO TO BE- SW'!$E$4,0)</f>
        <v>0</v>
      </c>
      <c r="S159" s="565">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HW'!$E$4)*SUM(POZICIE_INTERNE!$I$40:$I$51))/POZICIE_INTERNE!$B$40)),0)+IFERROR(IF((EXTERNE_POZICIE!$B$41-12*('TCO TO BE- SW'!$D159-1))&gt;12,((S$4+'TCO TO BE - HW'!S$4)/($E$4+'TCO TO BE - HW'!$E$4)*SUM(EXTERNE_POZICIE!$M$41:$M$52)*1.23)/EXTERNE_POZICIE!$B$41*12,IF((EXTERNE_POZICIE!$B$41-12*('TCO TO BE- SW'!$D159-1))&lt;0,0,(EXTERNE_POZICIE!$B$41-12*('TCO TO BE- SW'!$D159-1))*((S$4+'TCO TO BE - HW'!S$4)/($E$4+'TCO TO BE - HW'!$E$4)*SUM(EXTERNE_POZICIE!$M$41:$M$52)*1.23)/EXTERNE_POZICIE!$B$41)),0)+IFERROR(SUM(#REF!)*'TCO TO BE- SW'!S$4/'TCO TO BE- SW'!$E$4,0)</f>
        <v>0</v>
      </c>
      <c r="T159" s="565">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HW'!$E$4)*SUM(POZICIE_INTERNE!$I$40:$I$51))/POZICIE_INTERNE!$B$40)),0)+IFERROR(IF((EXTERNE_POZICIE!$B$41-12*('TCO TO BE- SW'!$D159-1))&gt;12,((T$4+'TCO TO BE - HW'!T$4)/($E$4+'TCO TO BE - HW'!$E$4)*SUM(EXTERNE_POZICIE!$M$41:$M$52)*1.23)/EXTERNE_POZICIE!$B$41*12,IF((EXTERNE_POZICIE!$B$41-12*('TCO TO BE- SW'!$D159-1))&lt;0,0,(EXTERNE_POZICIE!$B$41-12*('TCO TO BE- SW'!$D159-1))*((T$4+'TCO TO BE - HW'!T$4)/($E$4+'TCO TO BE - HW'!$E$4)*SUM(EXTERNE_POZICIE!$M$41:$M$52)*1.23)/EXTERNE_POZICIE!$B$41)),0)+IFERROR(SUM(#REF!)*'TCO TO BE- SW'!T$4/'TCO TO BE- SW'!$E$4,0)</f>
        <v>0</v>
      </c>
      <c r="U159" s="565">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HW'!$E$4)*SUM(POZICIE_INTERNE!$I$40:$I$51))/POZICIE_INTERNE!$B$40)),0)+IFERROR(IF((EXTERNE_POZICIE!$B$41-12*('TCO TO BE- SW'!$D159-1))&gt;12,((U$4+'TCO TO BE - HW'!U$4)/($E$4+'TCO TO BE - HW'!$E$4)*SUM(EXTERNE_POZICIE!$M$41:$M$52)*1.23)/EXTERNE_POZICIE!$B$41*12,IF((EXTERNE_POZICIE!$B$41-12*('TCO TO BE- SW'!$D159-1))&lt;0,0,(EXTERNE_POZICIE!$B$41-12*('TCO TO BE- SW'!$D159-1))*((U$4+'TCO TO BE - HW'!U$4)/($E$4+'TCO TO BE - HW'!$E$4)*SUM(EXTERNE_POZICIE!$M$41:$M$52)*1.23)/EXTERNE_POZICIE!$B$41)),0)+IFERROR(SUM(#REF!)*'TCO TO BE- SW'!U$4/'TCO TO BE- SW'!$E$4,0)</f>
        <v>0</v>
      </c>
      <c r="V159" s="565">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HW'!$E$4)*SUM(POZICIE_INTERNE!$I$40:$I$51))/POZICIE_INTERNE!$B$40)),0)+IFERROR(IF((EXTERNE_POZICIE!$B$41-12*('TCO TO BE- SW'!$D159-1))&gt;12,((V$4+'TCO TO BE - HW'!V$4)/($E$4+'TCO TO BE - HW'!$E$4)*SUM(EXTERNE_POZICIE!$M$41:$M$52)*1.23)/EXTERNE_POZICIE!$B$41*12,IF((EXTERNE_POZICIE!$B$41-12*('TCO TO BE- SW'!$D159-1))&lt;0,0,(EXTERNE_POZICIE!$B$41-12*('TCO TO BE- SW'!$D159-1))*((V$4+'TCO TO BE - HW'!V$4)/($E$4+'TCO TO BE - HW'!$E$4)*SUM(EXTERNE_POZICIE!$M$41:$M$52)*1.23)/EXTERNE_POZICIE!$B$41)),0)+IFERROR(SUM(#REF!)*'TCO TO BE- SW'!V$4/'TCO TO BE- SW'!$E$4,0)</f>
        <v>0</v>
      </c>
      <c r="W159" s="565">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HW'!$E$4)*SUM(POZICIE_INTERNE!$I$40:$I$51))/POZICIE_INTERNE!$B$40)),0)+IFERROR(IF((EXTERNE_POZICIE!$B$41-12*('TCO TO BE- SW'!$D159-1))&gt;12,((W$4+'TCO TO BE - HW'!W$4)/($E$4+'TCO TO BE - HW'!$E$4)*SUM(EXTERNE_POZICIE!$M$41:$M$52)*1.23)/EXTERNE_POZICIE!$B$41*12,IF((EXTERNE_POZICIE!$B$41-12*('TCO TO BE- SW'!$D159-1))&lt;0,0,(EXTERNE_POZICIE!$B$41-12*('TCO TO BE- SW'!$D159-1))*((W$4+'TCO TO BE - HW'!W$4)/($E$4+'TCO TO BE - HW'!$E$4)*SUM(EXTERNE_POZICIE!$M$41:$M$52)*1.23)/EXTERNE_POZICIE!$B$41)),0)+IFERROR(SUM(#REF!)*'TCO TO BE- SW'!W$4/'TCO TO BE- SW'!$E$4,0)</f>
        <v>0</v>
      </c>
      <c r="X159" s="565">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HW'!$E$4)*SUM(POZICIE_INTERNE!$I$40:$I$51))/POZICIE_INTERNE!$B$40)),0)+IFERROR(IF((EXTERNE_POZICIE!$B$41-12*('TCO TO BE- SW'!$D159-1))&gt;12,((X$4+'TCO TO BE - HW'!X$4)/($E$4+'TCO TO BE - HW'!$E$4)*SUM(EXTERNE_POZICIE!$M$41:$M$52)*1.23)/EXTERNE_POZICIE!$B$41*12,IF((EXTERNE_POZICIE!$B$41-12*('TCO TO BE- SW'!$D159-1))&lt;0,0,(EXTERNE_POZICIE!$B$41-12*('TCO TO BE- SW'!$D159-1))*((X$4+'TCO TO BE - HW'!X$4)/($E$4+'TCO TO BE - HW'!$E$4)*SUM(EXTERNE_POZICIE!$M$41:$M$52)*1.23)/EXTERNE_POZICIE!$B$41)),0)+IFERROR(SUM(#REF!)*'TCO TO BE- SW'!X$4/'TCO TO BE- SW'!$E$4,0)</f>
        <v>0</v>
      </c>
      <c r="Y159" s="565">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HW'!$E$4)*SUM(POZICIE_INTERNE!$I$40:$I$51))/POZICIE_INTERNE!$B$40)),0)+IFERROR(IF((EXTERNE_POZICIE!$B$41-12*('TCO TO BE- SW'!$D159-1))&gt;12,((Y$4+'TCO TO BE - HW'!Y$4)/($E$4+'TCO TO BE - HW'!$E$4)*SUM(EXTERNE_POZICIE!$M$41:$M$52)*1.23)/EXTERNE_POZICIE!$B$41*12,IF((EXTERNE_POZICIE!$B$41-12*('TCO TO BE- SW'!$D159-1))&lt;0,0,(EXTERNE_POZICIE!$B$41-12*('TCO TO BE- SW'!$D159-1))*((Y$4+'TCO TO BE - HW'!Y$4)/($E$4+'TCO TO BE - HW'!$E$4)*SUM(EXTERNE_POZICIE!$M$41:$M$52)*1.23)/EXTERNE_POZICIE!$B$41)),0)+IFERROR(SUM(#REF!)*'TCO TO BE- SW'!Y$4/'TCO TO BE- SW'!$E$4,0)</f>
        <v>0</v>
      </c>
      <c r="Z159" s="565">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HW'!$E$4)*SUM(POZICIE_INTERNE!$I$40:$I$51))/POZICIE_INTERNE!$B$40)),0)+IFERROR(IF((EXTERNE_POZICIE!$B$41-12*('TCO TO BE- SW'!$D159-1))&gt;12,((Z$4+'TCO TO BE - HW'!Z$4)/($E$4+'TCO TO BE - HW'!$E$4)*SUM(EXTERNE_POZICIE!$M$41:$M$52)*1.23)/EXTERNE_POZICIE!$B$41*12,IF((EXTERNE_POZICIE!$B$41-12*('TCO TO BE- SW'!$D159-1))&lt;0,0,(EXTERNE_POZICIE!$B$41-12*('TCO TO BE- SW'!$D159-1))*((Z$4+'TCO TO BE - HW'!Z$4)/($E$4+'TCO TO BE - HW'!$E$4)*SUM(EXTERNE_POZICIE!$M$41:$M$52)*1.23)/EXTERNE_POZICIE!$B$41)),0)+IFERROR(SUM(#REF!)*'TCO TO BE- SW'!Z$4/'TCO TO BE- SW'!$E$4,0)</f>
        <v>0</v>
      </c>
    </row>
    <row r="160" spans="1:26" ht="15.75" thickBot="1">
      <c r="A160" s="807"/>
      <c r="B160" s="808"/>
      <c r="C160" s="808"/>
      <c r="D160" s="65">
        <v>10</v>
      </c>
      <c r="E160" s="69">
        <f t="shared" si="16"/>
        <v>0</v>
      </c>
      <c r="F160" s="565">
        <f>IFERROR(IF((POZICIE_INTERNE!$B$40-12*('TCO TO BE- SW'!$D160-1))&gt;12,((F$4+'TCO TO BE - HW'!F$4)/($E$4+'TCO TO BE - HW'!$E$4)*SUM(POZICIE_INTERNE!$I$40:$I$51))/POZICIE_INTERNE!$B$40*12,IF((POZICIE_INTERNE!$B$40-12*('TCO TO BE- SW'!$D160-1))&lt;0,0,(POZICIE_INTERNE!$B$40-12*('TCO TO BE- SW'!$D160-1))*((F$4+'TCO TO BE - HW'!F$4)/($E$4+'TCO TO BE - HW'!$E$4)*SUM(POZICIE_INTERNE!$I$40:$I$51))/POZICIE_INTERNE!$B$40)),0)+IFERROR(IF((EXTERNE_POZICIE!$B$41-12*('TCO TO BE- SW'!$D160-1))&gt;12,((F$4+'TCO TO BE - HW'!F$4)/($E$4+'TCO TO BE - HW'!$E$4)*SUM(EXTERNE_POZICIE!$M$41:$M$52)*1.23)/EXTERNE_POZICIE!$B$41*12,IF((EXTERNE_POZICIE!$B$41-12*('TCO TO BE- SW'!$D160-1))&lt;0,0,(EXTERNE_POZICIE!$B$41-12*('TCO TO BE- SW'!$D160-1))*((F$4+'TCO TO BE - HW'!F$4)/($E$4+'TCO TO BE - HW'!$E$4)*SUM(EXTERNE_POZICIE!$M$41:$M$52)*1.23)/EXTERNE_POZICIE!$B$41)),0)+IFERROR(SUM(#REF!)*'TCO TO BE- SW'!F$4/'TCO TO BE- SW'!$E$4,0)</f>
        <v>0</v>
      </c>
      <c r="G160" s="565">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HW'!$E$4)*SUM(POZICIE_INTERNE!$I$40:$I$51))/POZICIE_INTERNE!$B$40)),0)+IFERROR(IF((EXTERNE_POZICIE!$B$41-12*('TCO TO BE- SW'!$D160-1))&gt;12,((G$4+'TCO TO BE - HW'!G$4)/($E$4+'TCO TO BE - HW'!$E$4)*SUM(EXTERNE_POZICIE!$M$41:$M$52)*1.23)/EXTERNE_POZICIE!$B$41*12,IF((EXTERNE_POZICIE!$B$41-12*('TCO TO BE- SW'!$D160-1))&lt;0,0,(EXTERNE_POZICIE!$B$41-12*('TCO TO BE- SW'!$D160-1))*((G$4+'TCO TO BE - HW'!G$4)/($E$4+'TCO TO BE - HW'!$E$4)*SUM(EXTERNE_POZICIE!$M$41:$M$52)*1.23)/EXTERNE_POZICIE!$B$41)),0)+IFERROR(SUM(#REF!)*'TCO TO BE- SW'!G$4/'TCO TO BE- SW'!$E$4,0)</f>
        <v>0</v>
      </c>
      <c r="H160" s="565">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HW'!$E$4)*SUM(POZICIE_INTERNE!$I$40:$I$51))/POZICIE_INTERNE!$B$40)),0)+IFERROR(IF((EXTERNE_POZICIE!$B$41-12*('TCO TO BE- SW'!$D160-1))&gt;12,((H$4+'TCO TO BE - HW'!H$4)/($E$4+'TCO TO BE - HW'!$E$4)*SUM(EXTERNE_POZICIE!$M$41:$M$52)*1.23)/EXTERNE_POZICIE!$B$41*12,IF((EXTERNE_POZICIE!$B$41-12*('TCO TO BE- SW'!$D160-1))&lt;0,0,(EXTERNE_POZICIE!$B$41-12*('TCO TO BE- SW'!$D160-1))*((H$4+'TCO TO BE - HW'!H$4)/($E$4+'TCO TO BE - HW'!$E$4)*SUM(EXTERNE_POZICIE!$M$41:$M$52)*1.23)/EXTERNE_POZICIE!$B$41)),0)+IFERROR(SUM(#REF!)*'TCO TO BE- SW'!H$4/'TCO TO BE- SW'!$E$4,0)</f>
        <v>0</v>
      </c>
      <c r="I160" s="565">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HW'!$E$4)*SUM(POZICIE_INTERNE!$I$40:$I$51))/POZICIE_INTERNE!$B$40)),0)+IFERROR(IF((EXTERNE_POZICIE!$B$41-12*('TCO TO BE- SW'!$D160-1))&gt;12,((I$4+'TCO TO BE - HW'!I$4)/($E$4+'TCO TO BE - HW'!$E$4)*SUM(EXTERNE_POZICIE!$M$41:$M$52)*1.23)/EXTERNE_POZICIE!$B$41*12,IF((EXTERNE_POZICIE!$B$41-12*('TCO TO BE- SW'!$D160-1))&lt;0,0,(EXTERNE_POZICIE!$B$41-12*('TCO TO BE- SW'!$D160-1))*((I$4+'TCO TO BE - HW'!I$4)/($E$4+'TCO TO BE - HW'!$E$4)*SUM(EXTERNE_POZICIE!$M$41:$M$52)*1.23)/EXTERNE_POZICIE!$B$41)),0)+IFERROR(SUM(#REF!)*'TCO TO BE- SW'!I$4/'TCO TO BE- SW'!$E$4,0)</f>
        <v>0</v>
      </c>
      <c r="J160" s="565">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HW'!$E$4)*SUM(POZICIE_INTERNE!$I$40:$I$51))/POZICIE_INTERNE!$B$40)),0)+IFERROR(IF((EXTERNE_POZICIE!$B$41-12*('TCO TO BE- SW'!$D160-1))&gt;12,((J$4+'TCO TO BE - HW'!J$4)/($E$4+'TCO TO BE - HW'!$E$4)*SUM(EXTERNE_POZICIE!$M$41:$M$52)*1.23)/EXTERNE_POZICIE!$B$41*12,IF((EXTERNE_POZICIE!$B$41-12*('TCO TO BE- SW'!$D160-1))&lt;0,0,(EXTERNE_POZICIE!$B$41-12*('TCO TO BE- SW'!$D160-1))*((J$4+'TCO TO BE - HW'!J$4)/($E$4+'TCO TO BE - HW'!$E$4)*SUM(EXTERNE_POZICIE!$M$41:$M$52)*1.23)/EXTERNE_POZICIE!$B$41)),0)+IFERROR(SUM(#REF!)*'TCO TO BE- SW'!J$4/'TCO TO BE- SW'!$E$4,0)</f>
        <v>0</v>
      </c>
      <c r="K160" s="565">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HW'!$E$4)*SUM(POZICIE_INTERNE!$I$40:$I$51))/POZICIE_INTERNE!$B$40)),0)+IFERROR(IF((EXTERNE_POZICIE!$B$41-12*('TCO TO BE- SW'!$D160-1))&gt;12,((K$4+'TCO TO BE - HW'!K$4)/($E$4+'TCO TO BE - HW'!$E$4)*SUM(EXTERNE_POZICIE!$M$41:$M$52)*1.23)/EXTERNE_POZICIE!$B$41*12,IF((EXTERNE_POZICIE!$B$41-12*('TCO TO BE- SW'!$D160-1))&lt;0,0,(EXTERNE_POZICIE!$B$41-12*('TCO TO BE- SW'!$D160-1))*((K$4+'TCO TO BE - HW'!K$4)/($E$4+'TCO TO BE - HW'!$E$4)*SUM(EXTERNE_POZICIE!$M$41:$M$52)*1.23)/EXTERNE_POZICIE!$B$41)),0)+IFERROR(SUM(#REF!)*'TCO TO BE- SW'!K$4/'TCO TO BE- SW'!$E$4,0)</f>
        <v>0</v>
      </c>
      <c r="L160" s="565">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HW'!$E$4)*SUM(POZICIE_INTERNE!$I$40:$I$51))/POZICIE_INTERNE!$B$40)),0)+IFERROR(IF((EXTERNE_POZICIE!$B$41-12*('TCO TO BE- SW'!$D160-1))&gt;12,((L$4+'TCO TO BE - HW'!L$4)/($E$4+'TCO TO BE - HW'!$E$4)*SUM(EXTERNE_POZICIE!$M$41:$M$52)*1.23)/EXTERNE_POZICIE!$B$41*12,IF((EXTERNE_POZICIE!$B$41-12*('TCO TO BE- SW'!$D160-1))&lt;0,0,(EXTERNE_POZICIE!$B$41-12*('TCO TO BE- SW'!$D160-1))*((L$4+'TCO TO BE - HW'!L$4)/($E$4+'TCO TO BE - HW'!$E$4)*SUM(EXTERNE_POZICIE!$M$41:$M$52)*1.23)/EXTERNE_POZICIE!$B$41)),0)+IFERROR(SUM(#REF!)*'TCO TO BE- SW'!L$4/'TCO TO BE- SW'!$E$4,0)</f>
        <v>0</v>
      </c>
      <c r="M160" s="565">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HW'!$E$4)*SUM(POZICIE_INTERNE!$I$40:$I$51))/POZICIE_INTERNE!$B$40)),0)+IFERROR(IF((EXTERNE_POZICIE!$B$41-12*('TCO TO BE- SW'!$D160-1))&gt;12,((M$4+'TCO TO BE - HW'!M$4)/($E$4+'TCO TO BE - HW'!$E$4)*SUM(EXTERNE_POZICIE!$M$41:$M$52)*1.23)/EXTERNE_POZICIE!$B$41*12,IF((EXTERNE_POZICIE!$B$41-12*('TCO TO BE- SW'!$D160-1))&lt;0,0,(EXTERNE_POZICIE!$B$41-12*('TCO TO BE- SW'!$D160-1))*((M$4+'TCO TO BE - HW'!M$4)/($E$4+'TCO TO BE - HW'!$E$4)*SUM(EXTERNE_POZICIE!$M$41:$M$52)*1.23)/EXTERNE_POZICIE!$B$41)),0)+IFERROR(SUM(#REF!)*'TCO TO BE- SW'!M$4/'TCO TO BE- SW'!$E$4,0)</f>
        <v>0</v>
      </c>
      <c r="N160" s="565">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HW'!$E$4)*SUM(POZICIE_INTERNE!$I$40:$I$51))/POZICIE_INTERNE!$B$40)),0)+IFERROR(IF((EXTERNE_POZICIE!$B$41-12*('TCO TO BE- SW'!$D160-1))&gt;12,((N$4+'TCO TO BE - HW'!N$4)/($E$4+'TCO TO BE - HW'!$E$4)*SUM(EXTERNE_POZICIE!$M$41:$M$52)*1.23)/EXTERNE_POZICIE!$B$41*12,IF((EXTERNE_POZICIE!$B$41-12*('TCO TO BE- SW'!$D160-1))&lt;0,0,(EXTERNE_POZICIE!$B$41-12*('TCO TO BE- SW'!$D160-1))*((N$4+'TCO TO BE - HW'!N$4)/($E$4+'TCO TO BE - HW'!$E$4)*SUM(EXTERNE_POZICIE!$M$41:$M$52)*1.23)/EXTERNE_POZICIE!$B$41)),0)+IFERROR(SUM(#REF!)*'TCO TO BE- SW'!N$4/'TCO TO BE- SW'!$E$4,0)</f>
        <v>0</v>
      </c>
      <c r="O160" s="565">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HW'!$E$4)*SUM(POZICIE_INTERNE!$I$40:$I$51))/POZICIE_INTERNE!$B$40)),0)+IFERROR(IF((EXTERNE_POZICIE!$B$41-12*('TCO TO BE- SW'!$D160-1))&gt;12,((O$4+'TCO TO BE - HW'!O$4)/($E$4+'TCO TO BE - HW'!$E$4)*SUM(EXTERNE_POZICIE!$M$41:$M$52)*1.23)/EXTERNE_POZICIE!$B$41*12,IF((EXTERNE_POZICIE!$B$41-12*('TCO TO BE- SW'!$D160-1))&lt;0,0,(EXTERNE_POZICIE!$B$41-12*('TCO TO BE- SW'!$D160-1))*((O$4+'TCO TO BE - HW'!O$4)/($E$4+'TCO TO BE - HW'!$E$4)*SUM(EXTERNE_POZICIE!$M$41:$M$52)*1.23)/EXTERNE_POZICIE!$B$41)),0)+IFERROR(SUM(#REF!)*'TCO TO BE- SW'!O$4/'TCO TO BE- SW'!$E$4,0)</f>
        <v>0</v>
      </c>
      <c r="P160" s="565">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HW'!$E$4)*SUM(POZICIE_INTERNE!$I$40:$I$51))/POZICIE_INTERNE!$B$40)),0)+IFERROR(IF((EXTERNE_POZICIE!$B$41-12*('TCO TO BE- SW'!$D160-1))&gt;12,((P$4+'TCO TO BE - HW'!P$4)/($E$4+'TCO TO BE - HW'!$E$4)*SUM(EXTERNE_POZICIE!$M$41:$M$52)*1.23)/EXTERNE_POZICIE!$B$41*12,IF((EXTERNE_POZICIE!$B$41-12*('TCO TO BE- SW'!$D160-1))&lt;0,0,(EXTERNE_POZICIE!$B$41-12*('TCO TO BE- SW'!$D160-1))*((P$4+'TCO TO BE - HW'!P$4)/($E$4+'TCO TO BE - HW'!$E$4)*SUM(EXTERNE_POZICIE!$M$41:$M$52)*1.23)/EXTERNE_POZICIE!$B$41)),0)+IFERROR(SUM(#REF!)*'TCO TO BE- SW'!P$4/'TCO TO BE- SW'!$E$4,0)</f>
        <v>0</v>
      </c>
      <c r="Q160" s="565">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HW'!$E$4)*SUM(POZICIE_INTERNE!$I$40:$I$51))/POZICIE_INTERNE!$B$40)),0)+IFERROR(IF((EXTERNE_POZICIE!$B$41-12*('TCO TO BE- SW'!$D160-1))&gt;12,((Q$4+'TCO TO BE - HW'!Q$4)/($E$4+'TCO TO BE - HW'!$E$4)*SUM(EXTERNE_POZICIE!$M$41:$M$52)*1.23)/EXTERNE_POZICIE!$B$41*12,IF((EXTERNE_POZICIE!$B$41-12*('TCO TO BE- SW'!$D160-1))&lt;0,0,(EXTERNE_POZICIE!$B$41-12*('TCO TO BE- SW'!$D160-1))*((Q$4+'TCO TO BE - HW'!Q$4)/($E$4+'TCO TO BE - HW'!$E$4)*SUM(EXTERNE_POZICIE!$M$41:$M$52)*1.23)/EXTERNE_POZICIE!$B$41)),0)+IFERROR(SUM(#REF!)*'TCO TO BE- SW'!Q$4/'TCO TO BE- SW'!$E$4,0)</f>
        <v>0</v>
      </c>
      <c r="R160" s="565">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HW'!$E$4)*SUM(POZICIE_INTERNE!$I$40:$I$51))/POZICIE_INTERNE!$B$40)),0)+IFERROR(IF((EXTERNE_POZICIE!$B$41-12*('TCO TO BE- SW'!$D160-1))&gt;12,((R$4+'TCO TO BE - HW'!R$4)/($E$4+'TCO TO BE - HW'!$E$4)*SUM(EXTERNE_POZICIE!$M$41:$M$52)*1.23)/EXTERNE_POZICIE!$B$41*12,IF((EXTERNE_POZICIE!$B$41-12*('TCO TO BE- SW'!$D160-1))&lt;0,0,(EXTERNE_POZICIE!$B$41-12*('TCO TO BE- SW'!$D160-1))*((R$4+'TCO TO BE - HW'!R$4)/($E$4+'TCO TO BE - HW'!$E$4)*SUM(EXTERNE_POZICIE!$M$41:$M$52)*1.23)/EXTERNE_POZICIE!$B$41)),0)+IFERROR(SUM(#REF!)*'TCO TO BE- SW'!R$4/'TCO TO BE- SW'!$E$4,0)</f>
        <v>0</v>
      </c>
      <c r="S160" s="565">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HW'!$E$4)*SUM(POZICIE_INTERNE!$I$40:$I$51))/POZICIE_INTERNE!$B$40)),0)+IFERROR(IF((EXTERNE_POZICIE!$B$41-12*('TCO TO BE- SW'!$D160-1))&gt;12,((S$4+'TCO TO BE - HW'!S$4)/($E$4+'TCO TO BE - HW'!$E$4)*SUM(EXTERNE_POZICIE!$M$41:$M$52)*1.23)/EXTERNE_POZICIE!$B$41*12,IF((EXTERNE_POZICIE!$B$41-12*('TCO TO BE- SW'!$D160-1))&lt;0,0,(EXTERNE_POZICIE!$B$41-12*('TCO TO BE- SW'!$D160-1))*((S$4+'TCO TO BE - HW'!S$4)/($E$4+'TCO TO BE - HW'!$E$4)*SUM(EXTERNE_POZICIE!$M$41:$M$52)*1.23)/EXTERNE_POZICIE!$B$41)),0)+IFERROR(SUM(#REF!)*'TCO TO BE- SW'!S$4/'TCO TO BE- SW'!$E$4,0)</f>
        <v>0</v>
      </c>
      <c r="T160" s="565">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HW'!$E$4)*SUM(POZICIE_INTERNE!$I$40:$I$51))/POZICIE_INTERNE!$B$40)),0)+IFERROR(IF((EXTERNE_POZICIE!$B$41-12*('TCO TO BE- SW'!$D160-1))&gt;12,((T$4+'TCO TO BE - HW'!T$4)/($E$4+'TCO TO BE - HW'!$E$4)*SUM(EXTERNE_POZICIE!$M$41:$M$52)*1.23)/EXTERNE_POZICIE!$B$41*12,IF((EXTERNE_POZICIE!$B$41-12*('TCO TO BE- SW'!$D160-1))&lt;0,0,(EXTERNE_POZICIE!$B$41-12*('TCO TO BE- SW'!$D160-1))*((T$4+'TCO TO BE - HW'!T$4)/($E$4+'TCO TO BE - HW'!$E$4)*SUM(EXTERNE_POZICIE!$M$41:$M$52)*1.23)/EXTERNE_POZICIE!$B$41)),0)+IFERROR(SUM(#REF!)*'TCO TO BE- SW'!T$4/'TCO TO BE- SW'!$E$4,0)</f>
        <v>0</v>
      </c>
      <c r="U160" s="565">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HW'!$E$4)*SUM(POZICIE_INTERNE!$I$40:$I$51))/POZICIE_INTERNE!$B$40)),0)+IFERROR(IF((EXTERNE_POZICIE!$B$41-12*('TCO TO BE- SW'!$D160-1))&gt;12,((U$4+'TCO TO BE - HW'!U$4)/($E$4+'TCO TO BE - HW'!$E$4)*SUM(EXTERNE_POZICIE!$M$41:$M$52)*1.23)/EXTERNE_POZICIE!$B$41*12,IF((EXTERNE_POZICIE!$B$41-12*('TCO TO BE- SW'!$D160-1))&lt;0,0,(EXTERNE_POZICIE!$B$41-12*('TCO TO BE- SW'!$D160-1))*((U$4+'TCO TO BE - HW'!U$4)/($E$4+'TCO TO BE - HW'!$E$4)*SUM(EXTERNE_POZICIE!$M$41:$M$52)*1.23)/EXTERNE_POZICIE!$B$41)),0)+IFERROR(SUM(#REF!)*'TCO TO BE- SW'!U$4/'TCO TO BE- SW'!$E$4,0)</f>
        <v>0</v>
      </c>
      <c r="V160" s="565">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HW'!$E$4)*SUM(POZICIE_INTERNE!$I$40:$I$51))/POZICIE_INTERNE!$B$40)),0)+IFERROR(IF((EXTERNE_POZICIE!$B$41-12*('TCO TO BE- SW'!$D160-1))&gt;12,((V$4+'TCO TO BE - HW'!V$4)/($E$4+'TCO TO BE - HW'!$E$4)*SUM(EXTERNE_POZICIE!$M$41:$M$52)*1.23)/EXTERNE_POZICIE!$B$41*12,IF((EXTERNE_POZICIE!$B$41-12*('TCO TO BE- SW'!$D160-1))&lt;0,0,(EXTERNE_POZICIE!$B$41-12*('TCO TO BE- SW'!$D160-1))*((V$4+'TCO TO BE - HW'!V$4)/($E$4+'TCO TO BE - HW'!$E$4)*SUM(EXTERNE_POZICIE!$M$41:$M$52)*1.23)/EXTERNE_POZICIE!$B$41)),0)+IFERROR(SUM(#REF!)*'TCO TO BE- SW'!V$4/'TCO TO BE- SW'!$E$4,0)</f>
        <v>0</v>
      </c>
      <c r="W160" s="565">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HW'!$E$4)*SUM(POZICIE_INTERNE!$I$40:$I$51))/POZICIE_INTERNE!$B$40)),0)+IFERROR(IF((EXTERNE_POZICIE!$B$41-12*('TCO TO BE- SW'!$D160-1))&gt;12,((W$4+'TCO TO BE - HW'!W$4)/($E$4+'TCO TO BE - HW'!$E$4)*SUM(EXTERNE_POZICIE!$M$41:$M$52)*1.23)/EXTERNE_POZICIE!$B$41*12,IF((EXTERNE_POZICIE!$B$41-12*('TCO TO BE- SW'!$D160-1))&lt;0,0,(EXTERNE_POZICIE!$B$41-12*('TCO TO BE- SW'!$D160-1))*((W$4+'TCO TO BE - HW'!W$4)/($E$4+'TCO TO BE - HW'!$E$4)*SUM(EXTERNE_POZICIE!$M$41:$M$52)*1.23)/EXTERNE_POZICIE!$B$41)),0)+IFERROR(SUM(#REF!)*'TCO TO BE- SW'!W$4/'TCO TO BE- SW'!$E$4,0)</f>
        <v>0</v>
      </c>
      <c r="X160" s="565">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HW'!$E$4)*SUM(POZICIE_INTERNE!$I$40:$I$51))/POZICIE_INTERNE!$B$40)),0)+IFERROR(IF((EXTERNE_POZICIE!$B$41-12*('TCO TO BE- SW'!$D160-1))&gt;12,((X$4+'TCO TO BE - HW'!X$4)/($E$4+'TCO TO BE - HW'!$E$4)*SUM(EXTERNE_POZICIE!$M$41:$M$52)*1.23)/EXTERNE_POZICIE!$B$41*12,IF((EXTERNE_POZICIE!$B$41-12*('TCO TO BE- SW'!$D160-1))&lt;0,0,(EXTERNE_POZICIE!$B$41-12*('TCO TO BE- SW'!$D160-1))*((X$4+'TCO TO BE - HW'!X$4)/($E$4+'TCO TO BE - HW'!$E$4)*SUM(EXTERNE_POZICIE!$M$41:$M$52)*1.23)/EXTERNE_POZICIE!$B$41)),0)+IFERROR(SUM(#REF!)*'TCO TO BE- SW'!X$4/'TCO TO BE- SW'!$E$4,0)</f>
        <v>0</v>
      </c>
      <c r="Y160" s="565">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HW'!$E$4)*SUM(POZICIE_INTERNE!$I$40:$I$51))/POZICIE_INTERNE!$B$40)),0)+IFERROR(IF((EXTERNE_POZICIE!$B$41-12*('TCO TO BE- SW'!$D160-1))&gt;12,((Y$4+'TCO TO BE - HW'!Y$4)/($E$4+'TCO TO BE - HW'!$E$4)*SUM(EXTERNE_POZICIE!$M$41:$M$52)*1.23)/EXTERNE_POZICIE!$B$41*12,IF((EXTERNE_POZICIE!$B$41-12*('TCO TO BE- SW'!$D160-1))&lt;0,0,(EXTERNE_POZICIE!$B$41-12*('TCO TO BE- SW'!$D160-1))*((Y$4+'TCO TO BE - HW'!Y$4)/($E$4+'TCO TO BE - HW'!$E$4)*SUM(EXTERNE_POZICIE!$M$41:$M$52)*1.23)/EXTERNE_POZICIE!$B$41)),0)+IFERROR(SUM(#REF!)*'TCO TO BE- SW'!Y$4/'TCO TO BE- SW'!$E$4,0)</f>
        <v>0</v>
      </c>
      <c r="Z160" s="565">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HW'!$E$4)*SUM(POZICIE_INTERNE!$I$40:$I$51))/POZICIE_INTERNE!$B$40)),0)+IFERROR(IF((EXTERNE_POZICIE!$B$41-12*('TCO TO BE- SW'!$D160-1))&gt;12,((Z$4+'TCO TO BE - HW'!Z$4)/($E$4+'TCO TO BE - HW'!$E$4)*SUM(EXTERNE_POZICIE!$M$41:$M$52)*1.23)/EXTERNE_POZICIE!$B$41*12,IF((EXTERNE_POZICIE!$B$41-12*('TCO TO BE- SW'!$D160-1))&lt;0,0,(EXTERNE_POZICIE!$B$41-12*('TCO TO BE- SW'!$D160-1))*((Z$4+'TCO TO BE - HW'!Z$4)/($E$4+'TCO TO BE - HW'!$E$4)*SUM(EXTERNE_POZICIE!$M$41:$M$52)*1.23)/EXTERNE_POZICIE!$B$41)),0)+IFERROR(SUM(#REF!)*'TCO TO BE- SW'!Z$4/'TCO TO BE- SW'!$E$4,0)</f>
        <v>0</v>
      </c>
    </row>
    <row r="161" spans="1:26">
      <c r="A161" s="807" t="s">
        <v>768</v>
      </c>
      <c r="B161" s="808"/>
      <c r="C161" s="808" t="s">
        <v>769</v>
      </c>
      <c r="D161" s="63">
        <v>1</v>
      </c>
      <c r="E161" s="68">
        <f t="shared" si="16"/>
        <v>667653.14630000014</v>
      </c>
      <c r="F161" s="564">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HW'!$E$4)*SUM(POZICIE_INTERNE!$I$52:$I$63))/POZICIE_INTERNE!$B$52)),0)+IFERROR(IF((EXTERNE_POZICIE!$B$53-12*('TCO TO BE- SW'!$D151-1))&gt;12,((F$4+'TCO TO BE - HW'!F$4)/($E$4+'TCO TO BE - HW'!$E$4)*SUM(EXTERNE_POZICIE!$M$53:$M$64)*1.23)/EXTERNE_POZICIE!$B$41*12,IF((EXTERNE_POZICIE!$B$53-12*('TCO TO BE- SW'!$D151-1))&lt;0,0,(EXTERNE_POZICIE!$B$53-12*('TCO TO BE- SW'!$D151-1))*((F$4+'TCO TO BE - HW'!F$4)/($E$4+'TCO TO BE - HW'!$E$4)*SUM(EXTERNE_POZICIE!$M$53:$M$64)*1.23)/EXTERNE_POZICIE!$B$53)),0)+IFERROR(SUM(#REF!)*'TCO TO BE- SW'!F$4/'TCO TO BE- SW'!$E$4,0)</f>
        <v>326785.27767140791</v>
      </c>
      <c r="G161" s="564">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HW'!$E$4)*SUM(POZICIE_INTERNE!$I$52:$I$63))/POZICIE_INTERNE!$B$52)),0)+IFERROR(IF((EXTERNE_POZICIE!$B$53-12*('TCO TO BE- SW'!$D151-1))&gt;12,((G$4+'TCO TO BE - HW'!G$4)/($E$4+'TCO TO BE - HW'!$E$4)*SUM(EXTERNE_POZICIE!$M$53:$M$64)*1.23)/EXTERNE_POZICIE!$B$41*12,IF((EXTERNE_POZICIE!$B$53-12*('TCO TO BE- SW'!$D151-1))&lt;0,0,(EXTERNE_POZICIE!$B$53-12*('TCO TO BE- SW'!$D151-1))*((G$4+'TCO TO BE - HW'!G$4)/($E$4+'TCO TO BE - HW'!$E$4)*SUM(EXTERNE_POZICIE!$M$53:$M$64)*1.23)/EXTERNE_POZICIE!$B$53)),0)+IFERROR(SUM(#REF!)*'TCO TO BE- SW'!G$4/'TCO TO BE- SW'!$E$4,0)</f>
        <v>13683.212206127426</v>
      </c>
      <c r="H161" s="564">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HW'!$E$4)*SUM(POZICIE_INTERNE!$I$52:$I$63))/POZICIE_INTERNE!$B$52)),0)+IFERROR(IF((EXTERNE_POZICIE!$B$53-12*('TCO TO BE- SW'!$D151-1))&gt;12,((H$4+'TCO TO BE - HW'!H$4)/($E$4+'TCO TO BE - HW'!$E$4)*SUM(EXTERNE_POZICIE!$M$53:$M$64)*1.23)/EXTERNE_POZICIE!$B$41*12,IF((EXTERNE_POZICIE!$B$53-12*('TCO TO BE- SW'!$D151-1))&lt;0,0,(EXTERNE_POZICIE!$B$53-12*('TCO TO BE- SW'!$D151-1))*((H$4+'TCO TO BE - HW'!H$4)/($E$4+'TCO TO BE - HW'!$E$4)*SUM(EXTERNE_POZICIE!$M$53:$M$64)*1.23)/EXTERNE_POZICIE!$B$53)),0)+IFERROR(SUM(#REF!)*'TCO TO BE- SW'!H$4/'TCO TO BE- SW'!$E$4,0)</f>
        <v>18810.086652980233</v>
      </c>
      <c r="I161" s="564">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HW'!$E$4)*SUM(POZICIE_INTERNE!$I$52:$I$63))/POZICIE_INTERNE!$B$52)),0)+IFERROR(IF((EXTERNE_POZICIE!$B$53-12*('TCO TO BE- SW'!$D151-1))&gt;12,((I$4+'TCO TO BE - HW'!I$4)/($E$4+'TCO TO BE - HW'!$E$4)*SUM(EXTERNE_POZICIE!$M$53:$M$64)*1.23)/EXTERNE_POZICIE!$B$41*12,IF((EXTERNE_POZICIE!$B$53-12*('TCO TO BE- SW'!$D151-1))&lt;0,0,(EXTERNE_POZICIE!$B$53-12*('TCO TO BE- SW'!$D151-1))*((I$4+'TCO TO BE - HW'!I$4)/($E$4+'TCO TO BE - HW'!$E$4)*SUM(EXTERNE_POZICIE!$M$53:$M$64)*1.23)/EXTERNE_POZICIE!$B$53)),0)+IFERROR(SUM(#REF!)*'TCO TO BE- SW'!I$4/'TCO TO BE- SW'!$E$4,0)</f>
        <v>24318.01257899102</v>
      </c>
      <c r="J161" s="564">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HW'!$E$4)*SUM(POZICIE_INTERNE!$I$52:$I$63))/POZICIE_INTERNE!$B$52)),0)+IFERROR(IF((EXTERNE_POZICIE!$B$53-12*('TCO TO BE- SW'!$D151-1))&gt;12,((J$4+'TCO TO BE - HW'!J$4)/($E$4+'TCO TO BE - HW'!$E$4)*SUM(EXTERNE_POZICIE!$M$53:$M$64)*1.23)/EXTERNE_POZICIE!$B$41*12,IF((EXTERNE_POZICIE!$B$53-12*('TCO TO BE- SW'!$D151-1))&lt;0,0,(EXTERNE_POZICIE!$B$53-12*('TCO TO BE- SW'!$D151-1))*((J$4+'TCO TO BE - HW'!J$4)/($E$4+'TCO TO BE - HW'!$E$4)*SUM(EXTERNE_POZICIE!$M$53:$M$64)*1.23)/EXTERNE_POZICIE!$B$53)),0)+IFERROR(SUM(#REF!)*'TCO TO BE- SW'!J$4/'TCO TO BE- SW'!$E$4,0)</f>
        <v>6408.5930585660108</v>
      </c>
      <c r="K161" s="564">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HW'!$E$4)*SUM(POZICIE_INTERNE!$I$52:$I$63))/POZICIE_INTERNE!$B$52)),0)+IFERROR(IF((EXTERNE_POZICIE!$B$53-12*('TCO TO BE- SW'!$D151-1))&gt;12,((K$4+'TCO TO BE - HW'!K$4)/($E$4+'TCO TO BE - HW'!$E$4)*SUM(EXTERNE_POZICIE!$M$53:$M$64)*1.23)/EXTERNE_POZICIE!$B$41*12,IF((EXTERNE_POZICIE!$B$53-12*('TCO TO BE- SW'!$D151-1))&lt;0,0,(EXTERNE_POZICIE!$B$53-12*('TCO TO BE- SW'!$D151-1))*((K$4+'TCO TO BE - HW'!K$4)/($E$4+'TCO TO BE - HW'!$E$4)*SUM(EXTERNE_POZICIE!$M$53:$M$64)*1.23)/EXTERNE_POZICIE!$B$53)),0)+IFERROR(SUM(#REF!)*'TCO TO BE- SW'!K$4/'TCO TO BE- SW'!$E$4,0)</f>
        <v>14064.263685285407</v>
      </c>
      <c r="L161" s="564">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HW'!$E$4)*SUM(POZICIE_INTERNE!$I$52:$I$63))/POZICIE_INTERNE!$B$52)),0)+IFERROR(IF((EXTERNE_POZICIE!$B$53-12*('TCO TO BE- SW'!$D151-1))&gt;12,((L$4+'TCO TO BE - HW'!L$4)/($E$4+'TCO TO BE - HW'!$E$4)*SUM(EXTERNE_POZICIE!$M$53:$M$64)*1.23)/EXTERNE_POZICIE!$B$41*12,IF((EXTERNE_POZICIE!$B$53-12*('TCO TO BE- SW'!$D151-1))&lt;0,0,(EXTERNE_POZICIE!$B$53-12*('TCO TO BE- SW'!$D151-1))*((L$4+'TCO TO BE - HW'!L$4)/($E$4+'TCO TO BE - HW'!$E$4)*SUM(EXTERNE_POZICIE!$M$53:$M$64)*1.23)/EXTERNE_POZICIE!$B$53)),0)+IFERROR(SUM(#REF!)*'TCO TO BE- SW'!L$4/'TCO TO BE- SW'!$E$4,0)</f>
        <v>29444.887025843826</v>
      </c>
      <c r="M161" s="564">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HW'!$E$4)*SUM(POZICIE_INTERNE!$I$52:$I$63))/POZICIE_INTERNE!$B$52)),0)+IFERROR(IF((EXTERNE_POZICIE!$B$53-12*('TCO TO BE- SW'!$D151-1))&gt;12,((M$4+'TCO TO BE - HW'!M$4)/($E$4+'TCO TO BE - HW'!$E$4)*SUM(EXTERNE_POZICIE!$M$53:$M$64)*1.23)/EXTERNE_POZICIE!$B$41*12,IF((EXTERNE_POZICIE!$B$53-12*('TCO TO BE- SW'!$D151-1))&lt;0,0,(EXTERNE_POZICIE!$B$53-12*('TCO TO BE- SW'!$D151-1))*((M$4+'TCO TO BE - HW'!M$4)/($E$4+'TCO TO BE - HW'!$E$4)*SUM(EXTERNE_POZICIE!$M$53:$M$64)*1.23)/EXTERNE_POZICIE!$B$53)),0)+IFERROR(SUM(#REF!)*'TCO TO BE- SW'!M$4/'TCO TO BE- SW'!$E$4,0)</f>
        <v>34537.120429136827</v>
      </c>
      <c r="N161" s="564">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HW'!$E$4)*SUM(POZICIE_INTERNE!$I$52:$I$63))/POZICIE_INTERNE!$B$52)),0)+IFERROR(IF((EXTERNE_POZICIE!$B$53-12*('TCO TO BE- SW'!$D151-1))&gt;12,((N$4+'TCO TO BE - HW'!N$4)/($E$4+'TCO TO BE - HW'!$E$4)*SUM(EXTERNE_POZICIE!$M$53:$M$64)*1.23)/EXTERNE_POZICIE!$B$41*12,IF((EXTERNE_POZICIE!$B$53-12*('TCO TO BE- SW'!$D151-1))&lt;0,0,(EXTERNE_POZICIE!$B$53-12*('TCO TO BE- SW'!$D151-1))*((N$4+'TCO TO BE - HW'!N$4)/($E$4+'TCO TO BE - HW'!$E$4)*SUM(EXTERNE_POZICIE!$M$53:$M$64)*1.23)/EXTERNE_POZICIE!$B$53)),0)+IFERROR(SUM(#REF!)*'TCO TO BE- SW'!N$4/'TCO TO BE- SW'!$E$4,0)</f>
        <v>15345.982296998607</v>
      </c>
      <c r="O161" s="564">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HW'!$E$4)*SUM(POZICIE_INTERNE!$I$52:$I$63))/POZICIE_INTERNE!$B$52)),0)+IFERROR(IF((EXTERNE_POZICIE!$B$53-12*('TCO TO BE- SW'!$D151-1))&gt;12,((O$4+'TCO TO BE - HW'!O$4)/($E$4+'TCO TO BE - HW'!$E$4)*SUM(EXTERNE_POZICIE!$M$53:$M$64)*1.23)/EXTERNE_POZICIE!$B$41*12,IF((EXTERNE_POZICIE!$B$53-12*('TCO TO BE- SW'!$D151-1))&lt;0,0,(EXTERNE_POZICIE!$B$53-12*('TCO TO BE- SW'!$D151-1))*((O$4+'TCO TO BE - HW'!O$4)/($E$4+'TCO TO BE - HW'!$E$4)*SUM(EXTERNE_POZICIE!$M$53:$M$64)*1.23)/EXTERNE_POZICIE!$B$53)),0)+IFERROR(SUM(#REF!)*'TCO TO BE- SW'!O$4/'TCO TO BE- SW'!$E$4,0)</f>
        <v>23036.293967277819</v>
      </c>
      <c r="P161" s="564">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HW'!$E$4)*SUM(POZICIE_INTERNE!$I$52:$I$63))/POZICIE_INTERNE!$B$52)),0)+IFERROR(IF((EXTERNE_POZICIE!$B$53-12*('TCO TO BE- SW'!$D151-1))&gt;12,((P$4+'TCO TO BE - HW'!P$4)/($E$4+'TCO TO BE - HW'!$E$4)*SUM(EXTERNE_POZICIE!$M$53:$M$64)*1.23)/EXTERNE_POZICIE!$B$41*12,IF((EXTERNE_POZICIE!$B$53-12*('TCO TO BE- SW'!$D151-1))&lt;0,0,(EXTERNE_POZICIE!$B$53-12*('TCO TO BE- SW'!$D151-1))*((P$4+'TCO TO BE - HW'!P$4)/($E$4+'TCO TO BE - HW'!$E$4)*SUM(EXTERNE_POZICIE!$M$53:$M$64)*1.23)/EXTERNE_POZICIE!$B$53)),0)+IFERROR(SUM(#REF!)*'TCO TO BE- SW'!P$4/'TCO TO BE- SW'!$E$4,0)</f>
        <v>17909.41952042501</v>
      </c>
      <c r="Q161" s="564">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HW'!$E$4)*SUM(POZICIE_INTERNE!$I$52:$I$63))/POZICIE_INTERNE!$B$52)),0)+IFERROR(IF((EXTERNE_POZICIE!$B$53-12*('TCO TO BE- SW'!$D151-1))&gt;12,((Q$4+'TCO TO BE - HW'!Q$4)/($E$4+'TCO TO BE - HW'!$E$4)*SUM(EXTERNE_POZICIE!$M$53:$M$64)*1.23)/EXTERNE_POZICIE!$B$41*12,IF((EXTERNE_POZICIE!$B$53-12*('TCO TO BE- SW'!$D151-1))&lt;0,0,(EXTERNE_POZICIE!$B$53-12*('TCO TO BE- SW'!$D151-1))*((Q$4+'TCO TO BE - HW'!Q$4)/($E$4+'TCO TO BE - HW'!$E$4)*SUM(EXTERNE_POZICIE!$M$53:$M$64)*1.23)/EXTERNE_POZICIE!$B$53)),0)+IFERROR(SUM(#REF!)*'TCO TO BE- SW'!Q$4/'TCO TO BE- SW'!$E$4,0)</f>
        <v>12782.545073572206</v>
      </c>
      <c r="R161" s="564">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HW'!$E$4)*SUM(POZICIE_INTERNE!$I$52:$I$63))/POZICIE_INTERNE!$B$52)),0)+IFERROR(IF((EXTERNE_POZICIE!$B$53-12*('TCO TO BE- SW'!$D151-1))&gt;12,((R$4+'TCO TO BE - HW'!R$4)/($E$4+'TCO TO BE - HW'!$E$4)*SUM(EXTERNE_POZICIE!$M$53:$M$64)*1.23)/EXTERNE_POZICIE!$B$41*12,IF((EXTERNE_POZICIE!$B$53-12*('TCO TO BE- SW'!$D151-1))&lt;0,0,(EXTERNE_POZICIE!$B$53-12*('TCO TO BE- SW'!$D151-1))*((R$4+'TCO TO BE - HW'!R$4)/($E$4+'TCO TO BE - HW'!$E$4)*SUM(EXTERNE_POZICIE!$M$53:$M$64)*1.23)/EXTERNE_POZICIE!$B$53)),0)+IFERROR(SUM(#REF!)*'TCO TO BE- SW'!R$4/'TCO TO BE- SW'!$E$4,0)</f>
        <v>12782.545073572206</v>
      </c>
      <c r="S161" s="564">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HW'!$E$4)*SUM(POZICIE_INTERNE!$I$52:$I$63))/POZICIE_INTERNE!$B$52)),0)+IFERROR(IF((EXTERNE_POZICIE!$B$53-12*('TCO TO BE- SW'!$D151-1))&gt;12,((S$4+'TCO TO BE - HW'!S$4)/($E$4+'TCO TO BE - HW'!$E$4)*SUM(EXTERNE_POZICIE!$M$53:$M$64)*1.23)/EXTERNE_POZICIE!$B$41*12,IF((EXTERNE_POZICIE!$B$53-12*('TCO TO BE- SW'!$D151-1))&lt;0,0,(EXTERNE_POZICIE!$B$53-12*('TCO TO BE- SW'!$D151-1))*((S$4+'TCO TO BE - HW'!S$4)/($E$4+'TCO TO BE - HW'!$E$4)*SUM(EXTERNE_POZICIE!$M$53:$M$64)*1.23)/EXTERNE_POZICIE!$B$53)),0)+IFERROR(SUM(#REF!)*'TCO TO BE- SW'!S$4/'TCO TO BE- SW'!$E$4,0)</f>
        <v>19191.138132138214</v>
      </c>
      <c r="T161" s="564">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HW'!$E$4)*SUM(POZICIE_INTERNE!$I$52:$I$63))/POZICIE_INTERNE!$B$52)),0)+IFERROR(IF((EXTERNE_POZICIE!$B$53-12*('TCO TO BE- SW'!$D151-1))&gt;12,((T$4+'TCO TO BE - HW'!T$4)/($E$4+'TCO TO BE - HW'!$E$4)*SUM(EXTERNE_POZICIE!$M$53:$M$64)*1.23)/EXTERNE_POZICIE!$B$41*12,IF((EXTERNE_POZICIE!$B$53-12*('TCO TO BE- SW'!$D151-1))&lt;0,0,(EXTERNE_POZICIE!$B$53-12*('TCO TO BE- SW'!$D151-1))*((T$4+'TCO TO BE - HW'!T$4)/($E$4+'TCO TO BE - HW'!$E$4)*SUM(EXTERNE_POZICIE!$M$53:$M$64)*1.23)/EXTERNE_POZICIE!$B$53)),0)+IFERROR(SUM(#REF!)*'TCO TO BE- SW'!T$4/'TCO TO BE- SW'!$E$4,0)</f>
        <v>21754.575355564622</v>
      </c>
      <c r="U161" s="564">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HW'!$E$4)*SUM(POZICIE_INTERNE!$I$52:$I$63))/POZICIE_INTERNE!$B$52)),0)+IFERROR(IF((EXTERNE_POZICIE!$B$53-12*('TCO TO BE- SW'!$D151-1))&gt;12,((U$4+'TCO TO BE - HW'!U$4)/($E$4+'TCO TO BE - HW'!$E$4)*SUM(EXTERNE_POZICIE!$M$53:$M$64)*1.23)/EXTERNE_POZICIE!$B$41*12,IF((EXTERNE_POZICIE!$B$53-12*('TCO TO BE- SW'!$D151-1))&lt;0,0,(EXTERNE_POZICIE!$B$53-12*('TCO TO BE- SW'!$D151-1))*((U$4+'TCO TO BE - HW'!U$4)/($E$4+'TCO TO BE - HW'!$E$4)*SUM(EXTERNE_POZICIE!$M$53:$M$64)*1.23)/EXTERNE_POZICIE!$B$53)),0)+IFERROR(SUM(#REF!)*'TCO TO BE- SW'!U$4/'TCO TO BE- SW'!$E$4,0)</f>
        <v>20472.856743851415</v>
      </c>
      <c r="V161" s="564">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HW'!$E$4)*SUM(POZICIE_INTERNE!$I$52:$I$63))/POZICIE_INTERNE!$B$52)),0)+IFERROR(IF((EXTERNE_POZICIE!$B$53-12*('TCO TO BE- SW'!$D151-1))&gt;12,((V$4+'TCO TO BE - HW'!V$4)/($E$4+'TCO TO BE - HW'!$E$4)*SUM(EXTERNE_POZICIE!$M$53:$M$64)*1.23)/EXTERNE_POZICIE!$B$41*12,IF((EXTERNE_POZICIE!$B$53-12*('TCO TO BE- SW'!$D151-1))&lt;0,0,(EXTERNE_POZICIE!$B$53-12*('TCO TO BE- SW'!$D151-1))*((V$4+'TCO TO BE - HW'!V$4)/($E$4+'TCO TO BE - HW'!$E$4)*SUM(EXTERNE_POZICIE!$M$53:$M$64)*1.23)/EXTERNE_POZICIE!$B$53)),0)+IFERROR(SUM(#REF!)*'TCO TO BE- SW'!V$4/'TCO TO BE- SW'!$E$4,0)</f>
        <v>10253.748893705617</v>
      </c>
      <c r="W161" s="564">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HW'!$E$4)*SUM(POZICIE_INTERNE!$I$52:$I$63))/POZICIE_INTERNE!$B$52)),0)+IFERROR(IF((EXTERNE_POZICIE!$B$53-12*('TCO TO BE- SW'!$D151-1))&gt;12,((W$4+'TCO TO BE - HW'!W$4)/($E$4+'TCO TO BE - HW'!$E$4)*SUM(EXTERNE_POZICIE!$M$53:$M$64)*1.23)/EXTERNE_POZICIE!$B$41*12,IF((EXTERNE_POZICIE!$B$53-12*('TCO TO BE- SW'!$D151-1))&lt;0,0,(EXTERNE_POZICIE!$B$53-12*('TCO TO BE- SW'!$D151-1))*((W$4+'TCO TO BE - HW'!W$4)/($E$4+'TCO TO BE - HW'!$E$4)*SUM(EXTERNE_POZICIE!$M$53:$M$64)*1.23)/EXTERNE_POZICIE!$B$53)),0)+IFERROR(SUM(#REF!)*'TCO TO BE- SW'!W$4/'TCO TO BE- SW'!$E$4,0)</f>
        <v>17909.41952042501</v>
      </c>
      <c r="X161" s="564">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HW'!$E$4)*SUM(POZICIE_INTERNE!$I$52:$I$63))/POZICIE_INTERNE!$B$52)),0)+IFERROR(IF((EXTERNE_POZICIE!$B$53-12*('TCO TO BE- SW'!$D151-1))&gt;12,((X$4+'TCO TO BE - HW'!X$4)/($E$4+'TCO TO BE - HW'!$E$4)*SUM(EXTERNE_POZICIE!$M$53:$M$64)*1.23)/EXTERNE_POZICIE!$B$41*12,IF((EXTERNE_POZICIE!$B$53-12*('TCO TO BE- SW'!$D151-1))&lt;0,0,(EXTERNE_POZICIE!$B$53-12*('TCO TO BE- SW'!$D151-1))*((X$4+'TCO TO BE - HW'!X$4)/($E$4+'TCO TO BE - HW'!$E$4)*SUM(EXTERNE_POZICIE!$M$53:$M$64)*1.23)/EXTERNE_POZICIE!$B$53)),0)+IFERROR(SUM(#REF!)*'TCO TO BE- SW'!X$4/'TCO TO BE- SW'!$E$4,0)</f>
        <v>20472.856743851415</v>
      </c>
      <c r="Y161" s="564">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HW'!$E$4)*SUM(POZICIE_INTERNE!$I$52:$I$63))/POZICIE_INTERNE!$B$52)),0)+IFERROR(IF((EXTERNE_POZICIE!$B$53-12*('TCO TO BE- SW'!$D151-1))&gt;12,((Y$4+'TCO TO BE - HW'!Y$4)/($E$4+'TCO TO BE - HW'!$E$4)*SUM(EXTERNE_POZICIE!$M$53:$M$64)*1.23)/EXTERNE_POZICIE!$B$41*12,IF((EXTERNE_POZICIE!$B$53-12*('TCO TO BE- SW'!$D151-1))&lt;0,0,(EXTERNE_POZICIE!$B$53-12*('TCO TO BE- SW'!$D151-1))*((Y$4+'TCO TO BE - HW'!Y$4)/($E$4+'TCO TO BE - HW'!$E$4)*SUM(EXTERNE_POZICIE!$M$53:$M$64)*1.23)/EXTERNE_POZICIE!$B$53)),0)+IFERROR(SUM(#REF!)*'TCO TO BE- SW'!Y$4/'TCO TO BE- SW'!$E$4,0)</f>
        <v>7690.3116702792131</v>
      </c>
      <c r="Z161" s="564">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HW'!$E$4)*SUM(POZICIE_INTERNE!$I$52:$I$63))/POZICIE_INTERNE!$B$52)),0)+IFERROR(IF((EXTERNE_POZICIE!$B$53-12*('TCO TO BE- SW'!$D151-1))&gt;12,((Z$4+'TCO TO BE - HW'!Z$4)/($E$4+'TCO TO BE - HW'!$E$4)*SUM(EXTERNE_POZICIE!$M$53:$M$64)*1.23)/EXTERNE_POZICIE!$B$41*12,IF((EXTERNE_POZICIE!$B$53-12*('TCO TO BE- SW'!$D151-1))&lt;0,0,(EXTERNE_POZICIE!$B$53-12*('TCO TO BE- SW'!$D151-1))*((Z$4+'TCO TO BE - HW'!Z$4)/($E$4+'TCO TO BE - HW'!$E$4)*SUM(EXTERNE_POZICIE!$M$53:$M$64)*1.23)/EXTERNE_POZICIE!$B$53)),0)+IFERROR(SUM(#REF!)*'TCO TO BE- SW'!Z$4/'TCO TO BE- SW'!$E$4,0)</f>
        <v>0</v>
      </c>
    </row>
    <row r="162" spans="1:26">
      <c r="A162" s="807"/>
      <c r="B162" s="808"/>
      <c r="C162" s="808"/>
      <c r="D162" s="64">
        <v>2</v>
      </c>
      <c r="E162" s="68">
        <f t="shared" si="16"/>
        <v>0</v>
      </c>
      <c r="F162" s="565">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HW'!$E$4)*SUM(POZICIE_INTERNE!$I$52:$I$63))/POZICIE_INTERNE!$B$52)),0)+IFERROR(IF((EXTERNE_POZICIE!$B$53-12*('TCO TO BE- SW'!$D152-1))&gt;12,((F$4+'TCO TO BE - HW'!F$4)/($E$4+'TCO TO BE - HW'!$E$4)*SUM(EXTERNE_POZICIE!$M$53:$M$64)*1.23)/EXTERNE_POZICIE!$B$41*12,IF((EXTERNE_POZICIE!$B$53-12*('TCO TO BE- SW'!$D152-1))&lt;0,0,(EXTERNE_POZICIE!$B$53-12*('TCO TO BE- SW'!$D152-1))*((F$4+'TCO TO BE - HW'!F$4)/($E$4+'TCO TO BE - HW'!$E$4)*SUM(EXTERNE_POZICIE!$M$53:$M$64)*1.23)/EXTERNE_POZICIE!$B$53)),0)+IFERROR(SUM(#REF!)*'TCO TO BE- SW'!F$4/'TCO TO BE- SW'!$E$4,0)</f>
        <v>0</v>
      </c>
      <c r="G162" s="565">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HW'!$E$4)*SUM(POZICIE_INTERNE!$I$52:$I$63))/POZICIE_INTERNE!$B$52)),0)+IFERROR(IF((EXTERNE_POZICIE!$B$53-12*('TCO TO BE- SW'!$D152-1))&gt;12,((G$4+'TCO TO BE - HW'!G$4)/($E$4+'TCO TO BE - HW'!$E$4)*SUM(EXTERNE_POZICIE!$M$53:$M$64)*1.2)/EXTERNE_POZICIE!$B$41*12,IF((EXTERNE_POZICIE!$B$53-12*('TCO TO BE- SW'!$D152-1))&lt;0,0,(EXTERNE_POZICIE!$B$53-12*('TCO TO BE- SW'!$D152-1))*((G$4+'TCO TO BE - HW'!G$4)/($E$4+'TCO TO BE - HW'!$E$4)*SUM(EXTERNE_POZICIE!$M$53:$M$64)*1.2)/EXTERNE_POZICIE!$B$53)),0)</f>
        <v>0</v>
      </c>
      <c r="H162" s="565">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HW'!$E$4)*SUM(POZICIE_INTERNE!$I$52:$I$63))/POZICIE_INTERNE!$B$52)),0)+IFERROR(IF((EXTERNE_POZICIE!$B$53-12*('TCO TO BE- SW'!$D152-1))&gt;12,((H$4+'TCO TO BE - HW'!H$4)/($E$4+'TCO TO BE - HW'!$E$4)*SUM(EXTERNE_POZICIE!$M$53:$M$64)*1.2)/EXTERNE_POZICIE!$B$41*12,IF((EXTERNE_POZICIE!$B$53-12*('TCO TO BE- SW'!$D152-1))&lt;0,0,(EXTERNE_POZICIE!$B$53-12*('TCO TO BE- SW'!$D152-1))*((H$4+'TCO TO BE - HW'!H$4)/($E$4+'TCO TO BE - HW'!$E$4)*SUM(EXTERNE_POZICIE!$M$53:$M$64)*1.2)/EXTERNE_POZICIE!$B$53)),0)</f>
        <v>0</v>
      </c>
      <c r="I162" s="565">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HW'!$E$4)*SUM(POZICIE_INTERNE!$I$52:$I$63))/POZICIE_INTERNE!$B$52)),0)+IFERROR(IF((EXTERNE_POZICIE!$B$53-12*('TCO TO BE- SW'!$D152-1))&gt;12,((I$4+'TCO TO BE - HW'!I$4)/($E$4+'TCO TO BE - HW'!$E$4)*SUM(EXTERNE_POZICIE!$M$53:$M$64)*1.2)/EXTERNE_POZICIE!$B$41*12,IF((EXTERNE_POZICIE!$B$53-12*('TCO TO BE- SW'!$D152-1))&lt;0,0,(EXTERNE_POZICIE!$B$53-12*('TCO TO BE- SW'!$D152-1))*((I$4+'TCO TO BE - HW'!I$4)/($E$4+'TCO TO BE - HW'!$E$4)*SUM(EXTERNE_POZICIE!$M$53:$M$64)*1.2)/EXTERNE_POZICIE!$B$53)),0)</f>
        <v>0</v>
      </c>
      <c r="J162" s="565">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HW'!$E$4)*SUM(POZICIE_INTERNE!$I$52:$I$63))/POZICIE_INTERNE!$B$52)),0)+IFERROR(IF((EXTERNE_POZICIE!$B$53-12*('TCO TO BE- SW'!$D152-1))&gt;12,((J$4+'TCO TO BE - HW'!J$4)/($E$4+'TCO TO BE - HW'!$E$4)*SUM(EXTERNE_POZICIE!$M$53:$M$64)*1.2)/EXTERNE_POZICIE!$B$41*12,IF((EXTERNE_POZICIE!$B$53-12*('TCO TO BE- SW'!$D152-1))&lt;0,0,(EXTERNE_POZICIE!$B$53-12*('TCO TO BE- SW'!$D152-1))*((J$4+'TCO TO BE - HW'!J$4)/($E$4+'TCO TO BE - HW'!$E$4)*SUM(EXTERNE_POZICIE!$M$53:$M$64)*1.2)/EXTERNE_POZICIE!$B$53)),0)</f>
        <v>0</v>
      </c>
      <c r="K162" s="565">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HW'!$E$4)*SUM(POZICIE_INTERNE!$I$52:$I$63))/POZICIE_INTERNE!$B$52)),0)+IFERROR(IF((EXTERNE_POZICIE!$B$53-12*('TCO TO BE- SW'!$D152-1))&gt;12,((K$4+'TCO TO BE - HW'!K$4)/($E$4+'TCO TO BE - HW'!$E$4)*SUM(EXTERNE_POZICIE!$M$53:$M$64)*1.2)/EXTERNE_POZICIE!$B$41*12,IF((EXTERNE_POZICIE!$B$53-12*('TCO TO BE- SW'!$D152-1))&lt;0,0,(EXTERNE_POZICIE!$B$53-12*('TCO TO BE- SW'!$D152-1))*((K$4+'TCO TO BE - HW'!K$4)/($E$4+'TCO TO BE - HW'!$E$4)*SUM(EXTERNE_POZICIE!$M$53:$M$64)*1.2)/EXTERNE_POZICIE!$B$53)),0)</f>
        <v>0</v>
      </c>
      <c r="L162" s="565">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HW'!$E$4)*SUM(POZICIE_INTERNE!$I$52:$I$63))/POZICIE_INTERNE!$B$52)),0)+IFERROR(IF((EXTERNE_POZICIE!$B$53-12*('TCO TO BE- SW'!$D152-1))&gt;12,((L$4+'TCO TO BE - HW'!L$4)/($E$4+'TCO TO BE - HW'!$E$4)*SUM(EXTERNE_POZICIE!$M$53:$M$64)*1.2)/EXTERNE_POZICIE!$B$41*12,IF((EXTERNE_POZICIE!$B$53-12*('TCO TO BE- SW'!$D152-1))&lt;0,0,(EXTERNE_POZICIE!$B$53-12*('TCO TO BE- SW'!$D152-1))*((L$4+'TCO TO BE - HW'!L$4)/($E$4+'TCO TO BE - HW'!$E$4)*SUM(EXTERNE_POZICIE!$M$53:$M$64)*1.2)/EXTERNE_POZICIE!$B$53)),0)</f>
        <v>0</v>
      </c>
      <c r="M162" s="565">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HW'!$E$4)*SUM(POZICIE_INTERNE!$I$52:$I$63))/POZICIE_INTERNE!$B$52)),0)+IFERROR(IF((EXTERNE_POZICIE!$B$53-12*('TCO TO BE- SW'!$D152-1))&gt;12,((M$4+'TCO TO BE - HW'!M$4)/($E$4+'TCO TO BE - HW'!$E$4)*SUM(EXTERNE_POZICIE!$M$53:$M$64)*1.2)/EXTERNE_POZICIE!$B$41*12,IF((EXTERNE_POZICIE!$B$53-12*('TCO TO BE- SW'!$D152-1))&lt;0,0,(EXTERNE_POZICIE!$B$53-12*('TCO TO BE- SW'!$D152-1))*((M$4+'TCO TO BE - HW'!M$4)/($E$4+'TCO TO BE - HW'!$E$4)*SUM(EXTERNE_POZICIE!$M$53:$M$64)*1.2)/EXTERNE_POZICIE!$B$53)),0)</f>
        <v>0</v>
      </c>
      <c r="N162" s="565">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HW'!$E$4)*SUM(POZICIE_INTERNE!$I$52:$I$63))/POZICIE_INTERNE!$B$52)),0)+IFERROR(IF((EXTERNE_POZICIE!$B$53-12*('TCO TO BE- SW'!$D152-1))&gt;12,((N$4+'TCO TO BE - HW'!N$4)/($E$4+'TCO TO BE - HW'!$E$4)*SUM(EXTERNE_POZICIE!$M$53:$M$64)*1.2)/EXTERNE_POZICIE!$B$41*12,IF((EXTERNE_POZICIE!$B$53-12*('TCO TO BE- SW'!$D152-1))&lt;0,0,(EXTERNE_POZICIE!$B$53-12*('TCO TO BE- SW'!$D152-1))*((N$4+'TCO TO BE - HW'!N$4)/($E$4+'TCO TO BE - HW'!$E$4)*SUM(EXTERNE_POZICIE!$M$53:$M$64)*1.2)/EXTERNE_POZICIE!$B$53)),0)</f>
        <v>0</v>
      </c>
      <c r="O162" s="565">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HW'!$E$4)*SUM(POZICIE_INTERNE!$I$52:$I$63))/POZICIE_INTERNE!$B$52)),0)+IFERROR(IF((EXTERNE_POZICIE!$B$53-12*('TCO TO BE- SW'!$D152-1))&gt;12,((O$4+'TCO TO BE - HW'!O$4)/($E$4+'TCO TO BE - HW'!$E$4)*SUM(EXTERNE_POZICIE!$M$53:$M$64)*1.2)/EXTERNE_POZICIE!$B$41*12,IF((EXTERNE_POZICIE!$B$53-12*('TCO TO BE- SW'!$D152-1))&lt;0,0,(EXTERNE_POZICIE!$B$53-12*('TCO TO BE- SW'!$D152-1))*((O$4+'TCO TO BE - HW'!O$4)/($E$4+'TCO TO BE - HW'!$E$4)*SUM(EXTERNE_POZICIE!$M$53:$M$64)*1.2)/EXTERNE_POZICIE!$B$53)),0)</f>
        <v>0</v>
      </c>
      <c r="P162" s="565">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HW'!$E$4)*SUM(POZICIE_INTERNE!$I$52:$I$63))/POZICIE_INTERNE!$B$52)),0)+IFERROR(IF((EXTERNE_POZICIE!$B$53-12*('TCO TO BE- SW'!$D152-1))&gt;12,((P$4+'TCO TO BE - HW'!P$4)/($E$4+'TCO TO BE - HW'!$E$4)*SUM(EXTERNE_POZICIE!$M$53:$M$64)*1.2)/EXTERNE_POZICIE!$B$41*12,IF((EXTERNE_POZICIE!$B$53-12*('TCO TO BE- SW'!$D152-1))&lt;0,0,(EXTERNE_POZICIE!$B$53-12*('TCO TO BE- SW'!$D152-1))*((P$4+'TCO TO BE - HW'!P$4)/($E$4+'TCO TO BE - HW'!$E$4)*SUM(EXTERNE_POZICIE!$M$53:$M$64)*1.2)/EXTERNE_POZICIE!$B$53)),0)</f>
        <v>0</v>
      </c>
      <c r="Q162" s="565">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HW'!$E$4)*SUM(POZICIE_INTERNE!$I$52:$I$63))/POZICIE_INTERNE!$B$52)),0)+IFERROR(IF((EXTERNE_POZICIE!$B$53-12*('TCO TO BE- SW'!$D152-1))&gt;12,((Q$4+'TCO TO BE - HW'!Q$4)/($E$4+'TCO TO BE - HW'!$E$4)*SUM(EXTERNE_POZICIE!$M$53:$M$64)*1.2)/EXTERNE_POZICIE!$B$41*12,IF((EXTERNE_POZICIE!$B$53-12*('TCO TO BE- SW'!$D152-1))&lt;0,0,(EXTERNE_POZICIE!$B$53-12*('TCO TO BE- SW'!$D152-1))*((Q$4+'TCO TO BE - HW'!Q$4)/($E$4+'TCO TO BE - HW'!$E$4)*SUM(EXTERNE_POZICIE!$M$53:$M$64)*1.2)/EXTERNE_POZICIE!$B$53)),0)</f>
        <v>0</v>
      </c>
      <c r="R162" s="565">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HW'!$E$4)*SUM(POZICIE_INTERNE!$I$52:$I$63))/POZICIE_INTERNE!$B$52)),0)+IFERROR(IF((EXTERNE_POZICIE!$B$53-12*('TCO TO BE- SW'!$D152-1))&gt;12,((R$4+'TCO TO BE - HW'!R$4)/($E$4+'TCO TO BE - HW'!$E$4)*SUM(EXTERNE_POZICIE!$M$53:$M$64)*1.2)/EXTERNE_POZICIE!$B$41*12,IF((EXTERNE_POZICIE!$B$53-12*('TCO TO BE- SW'!$D152-1))&lt;0,0,(EXTERNE_POZICIE!$B$53-12*('TCO TO BE- SW'!$D152-1))*((R$4+'TCO TO BE - HW'!R$4)/($E$4+'TCO TO BE - HW'!$E$4)*SUM(EXTERNE_POZICIE!$M$53:$M$64)*1.2)/EXTERNE_POZICIE!$B$53)),0)</f>
        <v>0</v>
      </c>
      <c r="S162" s="565">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HW'!$E$4)*SUM(POZICIE_INTERNE!$I$52:$I$63))/POZICIE_INTERNE!$B$52)),0)+IFERROR(IF((EXTERNE_POZICIE!$B$53-12*('TCO TO BE- SW'!$D152-1))&gt;12,((S$4+'TCO TO BE - HW'!S$4)/($E$4+'TCO TO BE - HW'!$E$4)*SUM(EXTERNE_POZICIE!$M$53:$M$64)*1.2)/EXTERNE_POZICIE!$B$41*12,IF((EXTERNE_POZICIE!$B$53-12*('TCO TO BE- SW'!$D152-1))&lt;0,0,(EXTERNE_POZICIE!$B$53-12*('TCO TO BE- SW'!$D152-1))*((S$4+'TCO TO BE - HW'!S$4)/($E$4+'TCO TO BE - HW'!$E$4)*SUM(EXTERNE_POZICIE!$M$53:$M$64)*1.2)/EXTERNE_POZICIE!$B$53)),0)</f>
        <v>0</v>
      </c>
      <c r="T162" s="565">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HW'!$E$4)*SUM(POZICIE_INTERNE!$I$52:$I$63))/POZICIE_INTERNE!$B$52)),0)+IFERROR(IF((EXTERNE_POZICIE!$B$53-12*('TCO TO BE- SW'!$D152-1))&gt;12,((T$4+'TCO TO BE - HW'!T$4)/($E$4+'TCO TO BE - HW'!$E$4)*SUM(EXTERNE_POZICIE!$M$53:$M$64)*1.2)/EXTERNE_POZICIE!$B$41*12,IF((EXTERNE_POZICIE!$B$53-12*('TCO TO BE- SW'!$D152-1))&lt;0,0,(EXTERNE_POZICIE!$B$53-12*('TCO TO BE- SW'!$D152-1))*((T$4+'TCO TO BE - HW'!T$4)/($E$4+'TCO TO BE - HW'!$E$4)*SUM(EXTERNE_POZICIE!$M$53:$M$64)*1.2)/EXTERNE_POZICIE!$B$53)),0)</f>
        <v>0</v>
      </c>
      <c r="U162" s="565">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HW'!$E$4)*SUM(POZICIE_INTERNE!$I$52:$I$63))/POZICIE_INTERNE!$B$52)),0)+IFERROR(IF((EXTERNE_POZICIE!$B$53-12*('TCO TO BE- SW'!$D152-1))&gt;12,((U$4+'TCO TO BE - HW'!U$4)/($E$4+'TCO TO BE - HW'!$E$4)*SUM(EXTERNE_POZICIE!$M$53:$M$64)*1.2)/EXTERNE_POZICIE!$B$41*12,IF((EXTERNE_POZICIE!$B$53-12*('TCO TO BE- SW'!$D152-1))&lt;0,0,(EXTERNE_POZICIE!$B$53-12*('TCO TO BE- SW'!$D152-1))*((U$4+'TCO TO BE - HW'!U$4)/($E$4+'TCO TO BE - HW'!$E$4)*SUM(EXTERNE_POZICIE!$M$53:$M$64)*1.2)/EXTERNE_POZICIE!$B$53)),0)</f>
        <v>0</v>
      </c>
      <c r="V162" s="565">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HW'!$E$4)*SUM(POZICIE_INTERNE!$I$52:$I$63))/POZICIE_INTERNE!$B$52)),0)+IFERROR(IF((EXTERNE_POZICIE!$B$53-12*('TCO TO BE- SW'!$D152-1))&gt;12,((V$4+'TCO TO BE - HW'!V$4)/($E$4+'TCO TO BE - HW'!$E$4)*SUM(EXTERNE_POZICIE!$M$53:$M$64)*1.2)/EXTERNE_POZICIE!$B$41*12,IF((EXTERNE_POZICIE!$B$53-12*('TCO TO BE- SW'!$D152-1))&lt;0,0,(EXTERNE_POZICIE!$B$53-12*('TCO TO BE- SW'!$D152-1))*((V$4+'TCO TO BE - HW'!V$4)/($E$4+'TCO TO BE - HW'!$E$4)*SUM(EXTERNE_POZICIE!$M$53:$M$64)*1.2)/EXTERNE_POZICIE!$B$53)),0)</f>
        <v>0</v>
      </c>
      <c r="W162" s="565">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HW'!$E$4)*SUM(POZICIE_INTERNE!$I$52:$I$63))/POZICIE_INTERNE!$B$52)),0)+IFERROR(IF((EXTERNE_POZICIE!$B$53-12*('TCO TO BE- SW'!$D152-1))&gt;12,((W$4+'TCO TO BE - HW'!W$4)/($E$4+'TCO TO BE - HW'!$E$4)*SUM(EXTERNE_POZICIE!$M$53:$M$64)*1.2)/EXTERNE_POZICIE!$B$41*12,IF((EXTERNE_POZICIE!$B$53-12*('TCO TO BE- SW'!$D152-1))&lt;0,0,(EXTERNE_POZICIE!$B$53-12*('TCO TO BE- SW'!$D152-1))*((W$4+'TCO TO BE - HW'!W$4)/($E$4+'TCO TO BE - HW'!$E$4)*SUM(EXTERNE_POZICIE!$M$53:$M$64)*1.2)/EXTERNE_POZICIE!$B$53)),0)</f>
        <v>0</v>
      </c>
      <c r="X162" s="565">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HW'!$E$4)*SUM(POZICIE_INTERNE!$I$52:$I$63))/POZICIE_INTERNE!$B$52)),0)+IFERROR(IF((EXTERNE_POZICIE!$B$53-12*('TCO TO BE- SW'!$D152-1))&gt;12,((X$4+'TCO TO BE - HW'!X$4)/($E$4+'TCO TO BE - HW'!$E$4)*SUM(EXTERNE_POZICIE!$M$53:$M$64)*1.2)/EXTERNE_POZICIE!$B$41*12,IF((EXTERNE_POZICIE!$B$53-12*('TCO TO BE- SW'!$D152-1))&lt;0,0,(EXTERNE_POZICIE!$B$53-12*('TCO TO BE- SW'!$D152-1))*((X$4+'TCO TO BE - HW'!X$4)/($E$4+'TCO TO BE - HW'!$E$4)*SUM(EXTERNE_POZICIE!$M$53:$M$64)*1.2)/EXTERNE_POZICIE!$B$53)),0)</f>
        <v>0</v>
      </c>
      <c r="Y162" s="565">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HW'!$E$4)*SUM(POZICIE_INTERNE!$I$52:$I$63))/POZICIE_INTERNE!$B$52)),0)+IFERROR(IF((EXTERNE_POZICIE!$B$53-12*('TCO TO BE- SW'!$D152-1))&gt;12,((Y$4+'TCO TO BE - HW'!Y$4)/($E$4+'TCO TO BE - HW'!$E$4)*SUM(EXTERNE_POZICIE!$M$53:$M$64)*1.2)/EXTERNE_POZICIE!$B$41*12,IF((EXTERNE_POZICIE!$B$53-12*('TCO TO BE- SW'!$D152-1))&lt;0,0,(EXTERNE_POZICIE!$B$53-12*('TCO TO BE- SW'!$D152-1))*((Y$4+'TCO TO BE - HW'!Y$4)/($E$4+'TCO TO BE - HW'!$E$4)*SUM(EXTERNE_POZICIE!$M$53:$M$64)*1.2)/EXTERNE_POZICIE!$B$53)),0)</f>
        <v>0</v>
      </c>
      <c r="Z162" s="565">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HW'!$E$4)*SUM(POZICIE_INTERNE!$I$52:$I$63))/POZICIE_INTERNE!$B$52)),0)+IFERROR(IF((EXTERNE_POZICIE!$B$53-12*('TCO TO BE- SW'!$D152-1))&gt;12,((Z$4+'TCO TO BE - HW'!Z$4)/($E$4+'TCO TO BE - HW'!$E$4)*SUM(EXTERNE_POZICIE!$M$53:$M$64)*1.2)/EXTERNE_POZICIE!$B$41*12,IF((EXTERNE_POZICIE!$B$53-12*('TCO TO BE- SW'!$D152-1))&lt;0,0,(EXTERNE_POZICIE!$B$53-12*('TCO TO BE- SW'!$D152-1))*((Z$4+'TCO TO BE - HW'!Z$4)/($E$4+'TCO TO BE - HW'!$E$4)*SUM(EXTERNE_POZICIE!$M$53:$M$64)*1.2)/EXTERNE_POZICIE!$B$53)),0)</f>
        <v>0</v>
      </c>
    </row>
    <row r="163" spans="1:26">
      <c r="A163" s="807"/>
      <c r="B163" s="808"/>
      <c r="C163" s="808"/>
      <c r="D163" s="64">
        <v>3</v>
      </c>
      <c r="E163" s="68">
        <f t="shared" si="16"/>
        <v>0</v>
      </c>
      <c r="F163" s="565">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HW'!$E$4)*SUM(POZICIE_INTERNE!$I$52:$I$63))/POZICIE_INTERNE!$B$52)),0)+IFERROR(IF((EXTERNE_POZICIE!$B$53-12*('TCO TO BE- SW'!$D153-1))&gt;12,((F$4+'TCO TO BE - HW'!F$4)/($E$4+'TCO TO BE - HW'!$E$4)*SUM(EXTERNE_POZICIE!$M$53:$M$64)*1.23)/EXTERNE_POZICIE!$B$41*12,IF((EXTERNE_POZICIE!$B$53-12*('TCO TO BE- SW'!$D153-1))&lt;0,0,(EXTERNE_POZICIE!$B$53-12*('TCO TO BE- SW'!$D153-1))*((F$4+'TCO TO BE - HW'!F$4)/($E$4+'TCO TO BE - HW'!$E$4)*SUM(EXTERNE_POZICIE!$M$53:$M$64)*1.23)/EXTERNE_POZICIE!$B$53)),0)+IFERROR(SUM(#REF!)*'TCO TO BE- SW'!F$4/'TCO TO BE- SW'!$E$4,0)</f>
        <v>0</v>
      </c>
      <c r="G163" s="565">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HW'!$E$4)*SUM(POZICIE_INTERNE!$I$52:$I$63))/POZICIE_INTERNE!$B$52)),0)+IFERROR(IF((EXTERNE_POZICIE!$B$53-12*('TCO TO BE- SW'!$D153-1))&gt;12,((G$4+'TCO TO BE - HW'!G$4)/($E$4+'TCO TO BE - HW'!$E$4)*SUM(EXTERNE_POZICIE!$M$53:$M$64)*1.23)/EXTERNE_POZICIE!$B$41*12,IF((EXTERNE_POZICIE!$B$53-12*('TCO TO BE- SW'!$D153-1))&lt;0,0,(EXTERNE_POZICIE!$B$53-12*('TCO TO BE- SW'!$D153-1))*((G$4+'TCO TO BE - HW'!G$4)/($E$4+'TCO TO BE - HW'!$E$4)*SUM(EXTERNE_POZICIE!$M$53:$M$64)*1.23)/EXTERNE_POZICIE!$B$53)),0)+IFERROR(SUM(#REF!)*'TCO TO BE- SW'!G$4/'TCO TO BE- SW'!$E$4,0)</f>
        <v>0</v>
      </c>
      <c r="H163" s="565">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HW'!$E$4)*SUM(POZICIE_INTERNE!$I$52:$I$63))/POZICIE_INTERNE!$B$52)),0)+IFERROR(IF((EXTERNE_POZICIE!$B$53-12*('TCO TO BE- SW'!$D153-1))&gt;12,((H$4+'TCO TO BE - HW'!H$4)/($E$4+'TCO TO BE - HW'!$E$4)*SUM(EXTERNE_POZICIE!$M$53:$M$64)*1.23)/EXTERNE_POZICIE!$B$41*12,IF((EXTERNE_POZICIE!$B$53-12*('TCO TO BE- SW'!$D153-1))&lt;0,0,(EXTERNE_POZICIE!$B$53-12*('TCO TO BE- SW'!$D153-1))*((H$4+'TCO TO BE - HW'!H$4)/($E$4+'TCO TO BE - HW'!$E$4)*SUM(EXTERNE_POZICIE!$M$53:$M$64)*1.23)/EXTERNE_POZICIE!$B$53)),0)+IFERROR(SUM(#REF!)*'TCO TO BE- SW'!H$4/'TCO TO BE- SW'!$E$4,0)</f>
        <v>0</v>
      </c>
      <c r="I163" s="565">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HW'!$E$4)*SUM(POZICIE_INTERNE!$I$52:$I$63))/POZICIE_INTERNE!$B$52)),0)+IFERROR(IF((EXTERNE_POZICIE!$B$53-12*('TCO TO BE- SW'!$D153-1))&gt;12,((I$4+'TCO TO BE - HW'!I$4)/($E$4+'TCO TO BE - HW'!$E$4)*SUM(EXTERNE_POZICIE!$M$53:$M$64)*1.23)/EXTERNE_POZICIE!$B$41*12,IF((EXTERNE_POZICIE!$B$53-12*('TCO TO BE- SW'!$D153-1))&lt;0,0,(EXTERNE_POZICIE!$B$53-12*('TCO TO BE- SW'!$D153-1))*((I$4+'TCO TO BE - HW'!I$4)/($E$4+'TCO TO BE - HW'!$E$4)*SUM(EXTERNE_POZICIE!$M$53:$M$64)*1.23)/EXTERNE_POZICIE!$B$53)),0)+IFERROR(SUM(#REF!)*'TCO TO BE- SW'!I$4/'TCO TO BE- SW'!$E$4,0)</f>
        <v>0</v>
      </c>
      <c r="J163" s="565">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HW'!$E$4)*SUM(POZICIE_INTERNE!$I$52:$I$63))/POZICIE_INTERNE!$B$52)),0)+IFERROR(IF((EXTERNE_POZICIE!$B$53-12*('TCO TO BE- SW'!$D153-1))&gt;12,((J$4+'TCO TO BE - HW'!J$4)/($E$4+'TCO TO BE - HW'!$E$4)*SUM(EXTERNE_POZICIE!$M$53:$M$64)*1.23)/EXTERNE_POZICIE!$B$41*12,IF((EXTERNE_POZICIE!$B$53-12*('TCO TO BE- SW'!$D153-1))&lt;0,0,(EXTERNE_POZICIE!$B$53-12*('TCO TO BE- SW'!$D153-1))*((J$4+'TCO TO BE - HW'!J$4)/($E$4+'TCO TO BE - HW'!$E$4)*SUM(EXTERNE_POZICIE!$M$53:$M$64)*1.23)/EXTERNE_POZICIE!$B$53)),0)+IFERROR(SUM(#REF!)*'TCO TO BE- SW'!J$4/'TCO TO BE- SW'!$E$4,0)</f>
        <v>0</v>
      </c>
      <c r="K163" s="565">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HW'!$E$4)*SUM(POZICIE_INTERNE!$I$52:$I$63))/POZICIE_INTERNE!$B$52)),0)+IFERROR(IF((EXTERNE_POZICIE!$B$53-12*('TCO TO BE- SW'!$D153-1))&gt;12,((K$4+'TCO TO BE - HW'!K$4)/($E$4+'TCO TO BE - HW'!$E$4)*SUM(EXTERNE_POZICIE!$M$53:$M$64)*1.23)/EXTERNE_POZICIE!$B$41*12,IF((EXTERNE_POZICIE!$B$53-12*('TCO TO BE- SW'!$D153-1))&lt;0,0,(EXTERNE_POZICIE!$B$53-12*('TCO TO BE- SW'!$D153-1))*((K$4+'TCO TO BE - HW'!K$4)/($E$4+'TCO TO BE - HW'!$E$4)*SUM(EXTERNE_POZICIE!$M$53:$M$64)*1.23)/EXTERNE_POZICIE!$B$53)),0)+IFERROR(SUM(#REF!)*'TCO TO BE- SW'!K$4/'TCO TO BE- SW'!$E$4,0)</f>
        <v>0</v>
      </c>
      <c r="L163" s="565">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HW'!$E$4)*SUM(POZICIE_INTERNE!$I$52:$I$63))/POZICIE_INTERNE!$B$52)),0)+IFERROR(IF((EXTERNE_POZICIE!$B$53-12*('TCO TO BE- SW'!$D153-1))&gt;12,((L$4+'TCO TO BE - HW'!L$4)/($E$4+'TCO TO BE - HW'!$E$4)*SUM(EXTERNE_POZICIE!$M$53:$M$64)*1.23)/EXTERNE_POZICIE!$B$41*12,IF((EXTERNE_POZICIE!$B$53-12*('TCO TO BE- SW'!$D153-1))&lt;0,0,(EXTERNE_POZICIE!$B$53-12*('TCO TO BE- SW'!$D153-1))*((L$4+'TCO TO BE - HW'!L$4)/($E$4+'TCO TO BE - HW'!$E$4)*SUM(EXTERNE_POZICIE!$M$53:$M$64)*1.23)/EXTERNE_POZICIE!$B$53)),0)+IFERROR(SUM(#REF!)*'TCO TO BE- SW'!L$4/'TCO TO BE- SW'!$E$4,0)</f>
        <v>0</v>
      </c>
      <c r="M163" s="565">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HW'!$E$4)*SUM(POZICIE_INTERNE!$I$52:$I$63))/POZICIE_INTERNE!$B$52)),0)+IFERROR(IF((EXTERNE_POZICIE!$B$53-12*('TCO TO BE- SW'!$D153-1))&gt;12,((M$4+'TCO TO BE - HW'!M$4)/($E$4+'TCO TO BE - HW'!$E$4)*SUM(EXTERNE_POZICIE!$M$53:$M$64)*1.23)/EXTERNE_POZICIE!$B$41*12,IF((EXTERNE_POZICIE!$B$53-12*('TCO TO BE- SW'!$D153-1))&lt;0,0,(EXTERNE_POZICIE!$B$53-12*('TCO TO BE- SW'!$D153-1))*((M$4+'TCO TO BE - HW'!M$4)/($E$4+'TCO TO BE - HW'!$E$4)*SUM(EXTERNE_POZICIE!$M$53:$M$64)*1.23)/EXTERNE_POZICIE!$B$53)),0)+IFERROR(SUM(#REF!)*'TCO TO BE- SW'!M$4/'TCO TO BE- SW'!$E$4,0)</f>
        <v>0</v>
      </c>
      <c r="N163" s="565">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HW'!$E$4)*SUM(POZICIE_INTERNE!$I$52:$I$63))/POZICIE_INTERNE!$B$52)),0)+IFERROR(IF((EXTERNE_POZICIE!$B$53-12*('TCO TO BE- SW'!$D153-1))&gt;12,((N$4+'TCO TO BE - HW'!N$4)/($E$4+'TCO TO BE - HW'!$E$4)*SUM(EXTERNE_POZICIE!$M$53:$M$64)*1.23)/EXTERNE_POZICIE!$B$41*12,IF((EXTERNE_POZICIE!$B$53-12*('TCO TO BE- SW'!$D153-1))&lt;0,0,(EXTERNE_POZICIE!$B$53-12*('TCO TO BE- SW'!$D153-1))*((N$4+'TCO TO BE - HW'!N$4)/($E$4+'TCO TO BE - HW'!$E$4)*SUM(EXTERNE_POZICIE!$M$53:$M$64)*1.23)/EXTERNE_POZICIE!$B$53)),0)+IFERROR(SUM(#REF!)*'TCO TO BE- SW'!N$4/'TCO TO BE- SW'!$E$4,0)</f>
        <v>0</v>
      </c>
      <c r="O163" s="565">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HW'!$E$4)*SUM(POZICIE_INTERNE!$I$52:$I$63))/POZICIE_INTERNE!$B$52)),0)+IFERROR(IF((EXTERNE_POZICIE!$B$53-12*('TCO TO BE- SW'!$D153-1))&gt;12,((O$4+'TCO TO BE - HW'!O$4)/($E$4+'TCO TO BE - HW'!$E$4)*SUM(EXTERNE_POZICIE!$M$53:$M$64)*1.23)/EXTERNE_POZICIE!$B$41*12,IF((EXTERNE_POZICIE!$B$53-12*('TCO TO BE- SW'!$D153-1))&lt;0,0,(EXTERNE_POZICIE!$B$53-12*('TCO TO BE- SW'!$D153-1))*((O$4+'TCO TO BE - HW'!O$4)/($E$4+'TCO TO BE - HW'!$E$4)*SUM(EXTERNE_POZICIE!$M$53:$M$64)*1.23)/EXTERNE_POZICIE!$B$53)),0)+IFERROR(SUM(#REF!)*'TCO TO BE- SW'!O$4/'TCO TO BE- SW'!$E$4,0)</f>
        <v>0</v>
      </c>
      <c r="P163" s="565">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HW'!$E$4)*SUM(POZICIE_INTERNE!$I$52:$I$63))/POZICIE_INTERNE!$B$52)),0)+IFERROR(IF((EXTERNE_POZICIE!$B$53-12*('TCO TO BE- SW'!$D153-1))&gt;12,((P$4+'TCO TO BE - HW'!P$4)/($E$4+'TCO TO BE - HW'!$E$4)*SUM(EXTERNE_POZICIE!$M$53:$M$64)*1.23)/EXTERNE_POZICIE!$B$41*12,IF((EXTERNE_POZICIE!$B$53-12*('TCO TO BE- SW'!$D153-1))&lt;0,0,(EXTERNE_POZICIE!$B$53-12*('TCO TO BE- SW'!$D153-1))*((P$4+'TCO TO BE - HW'!P$4)/($E$4+'TCO TO BE - HW'!$E$4)*SUM(EXTERNE_POZICIE!$M$53:$M$64)*1.23)/EXTERNE_POZICIE!$B$53)),0)+IFERROR(SUM(#REF!)*'TCO TO BE- SW'!P$4/'TCO TO BE- SW'!$E$4,0)</f>
        <v>0</v>
      </c>
      <c r="Q163" s="565">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HW'!$E$4)*SUM(POZICIE_INTERNE!$I$52:$I$63))/POZICIE_INTERNE!$B$52)),0)+IFERROR(IF((EXTERNE_POZICIE!$B$53-12*('TCO TO BE- SW'!$D153-1))&gt;12,((Q$4+'TCO TO BE - HW'!Q$4)/($E$4+'TCO TO BE - HW'!$E$4)*SUM(EXTERNE_POZICIE!$M$53:$M$64)*1.23)/EXTERNE_POZICIE!$B$41*12,IF((EXTERNE_POZICIE!$B$53-12*('TCO TO BE- SW'!$D153-1))&lt;0,0,(EXTERNE_POZICIE!$B$53-12*('TCO TO BE- SW'!$D153-1))*((Q$4+'TCO TO BE - HW'!Q$4)/($E$4+'TCO TO BE - HW'!$E$4)*SUM(EXTERNE_POZICIE!$M$53:$M$64)*1.23)/EXTERNE_POZICIE!$B$53)),0)+IFERROR(SUM(#REF!)*'TCO TO BE- SW'!Q$4/'TCO TO BE- SW'!$E$4,0)</f>
        <v>0</v>
      </c>
      <c r="R163" s="565">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HW'!$E$4)*SUM(POZICIE_INTERNE!$I$52:$I$63))/POZICIE_INTERNE!$B$52)),0)+IFERROR(IF((EXTERNE_POZICIE!$B$53-12*('TCO TO BE- SW'!$D153-1))&gt;12,((R$4+'TCO TO BE - HW'!R$4)/($E$4+'TCO TO BE - HW'!$E$4)*SUM(EXTERNE_POZICIE!$M$53:$M$64)*1.23)/EXTERNE_POZICIE!$B$41*12,IF((EXTERNE_POZICIE!$B$53-12*('TCO TO BE- SW'!$D153-1))&lt;0,0,(EXTERNE_POZICIE!$B$53-12*('TCO TO BE- SW'!$D153-1))*((R$4+'TCO TO BE - HW'!R$4)/($E$4+'TCO TO BE - HW'!$E$4)*SUM(EXTERNE_POZICIE!$M$53:$M$64)*1.23)/EXTERNE_POZICIE!$B$53)),0)+IFERROR(SUM(#REF!)*'TCO TO BE- SW'!R$4/'TCO TO BE- SW'!$E$4,0)</f>
        <v>0</v>
      </c>
      <c r="S163" s="565">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HW'!$E$4)*SUM(POZICIE_INTERNE!$I$52:$I$63))/POZICIE_INTERNE!$B$52)),0)+IFERROR(IF((EXTERNE_POZICIE!$B$53-12*('TCO TO BE- SW'!$D153-1))&gt;12,((S$4+'TCO TO BE - HW'!S$4)/($E$4+'TCO TO BE - HW'!$E$4)*SUM(EXTERNE_POZICIE!$M$53:$M$64)*1.23)/EXTERNE_POZICIE!$B$41*12,IF((EXTERNE_POZICIE!$B$53-12*('TCO TO BE- SW'!$D153-1))&lt;0,0,(EXTERNE_POZICIE!$B$53-12*('TCO TO BE- SW'!$D153-1))*((S$4+'TCO TO BE - HW'!S$4)/($E$4+'TCO TO BE - HW'!$E$4)*SUM(EXTERNE_POZICIE!$M$53:$M$64)*1.23)/EXTERNE_POZICIE!$B$53)),0)+IFERROR(SUM(#REF!)*'TCO TO BE- SW'!S$4/'TCO TO BE- SW'!$E$4,0)</f>
        <v>0</v>
      </c>
      <c r="T163" s="565">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HW'!$E$4)*SUM(POZICIE_INTERNE!$I$52:$I$63))/POZICIE_INTERNE!$B$52)),0)+IFERROR(IF((EXTERNE_POZICIE!$B$53-12*('TCO TO BE- SW'!$D153-1))&gt;12,((T$4+'TCO TO BE - HW'!T$4)/($E$4+'TCO TO BE - HW'!$E$4)*SUM(EXTERNE_POZICIE!$M$53:$M$64)*1.23)/EXTERNE_POZICIE!$B$41*12,IF((EXTERNE_POZICIE!$B$53-12*('TCO TO BE- SW'!$D153-1))&lt;0,0,(EXTERNE_POZICIE!$B$53-12*('TCO TO BE- SW'!$D153-1))*((T$4+'TCO TO BE - HW'!T$4)/($E$4+'TCO TO BE - HW'!$E$4)*SUM(EXTERNE_POZICIE!$M$53:$M$64)*1.23)/EXTERNE_POZICIE!$B$53)),0)+IFERROR(SUM(#REF!)*'TCO TO BE- SW'!T$4/'TCO TO BE- SW'!$E$4,0)</f>
        <v>0</v>
      </c>
      <c r="U163" s="565">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HW'!$E$4)*SUM(POZICIE_INTERNE!$I$52:$I$63))/POZICIE_INTERNE!$B$52)),0)+IFERROR(IF((EXTERNE_POZICIE!$B$53-12*('TCO TO BE- SW'!$D153-1))&gt;12,((U$4+'TCO TO BE - HW'!U$4)/($E$4+'TCO TO BE - HW'!$E$4)*SUM(EXTERNE_POZICIE!$M$53:$M$64)*1.23)/EXTERNE_POZICIE!$B$41*12,IF((EXTERNE_POZICIE!$B$53-12*('TCO TO BE- SW'!$D153-1))&lt;0,0,(EXTERNE_POZICIE!$B$53-12*('TCO TO BE- SW'!$D153-1))*((U$4+'TCO TO BE - HW'!U$4)/($E$4+'TCO TO BE - HW'!$E$4)*SUM(EXTERNE_POZICIE!$M$53:$M$64)*1.23)/EXTERNE_POZICIE!$B$53)),0)+IFERROR(SUM(#REF!)*'TCO TO BE- SW'!U$4/'TCO TO BE- SW'!$E$4,0)</f>
        <v>0</v>
      </c>
      <c r="V163" s="565">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HW'!$E$4)*SUM(POZICIE_INTERNE!$I$52:$I$63))/POZICIE_INTERNE!$B$52)),0)+IFERROR(IF((EXTERNE_POZICIE!$B$53-12*('TCO TO BE- SW'!$D153-1))&gt;12,((V$4+'TCO TO BE - HW'!V$4)/($E$4+'TCO TO BE - HW'!$E$4)*SUM(EXTERNE_POZICIE!$M$53:$M$64)*1.23)/EXTERNE_POZICIE!$B$41*12,IF((EXTERNE_POZICIE!$B$53-12*('TCO TO BE- SW'!$D153-1))&lt;0,0,(EXTERNE_POZICIE!$B$53-12*('TCO TO BE- SW'!$D153-1))*((V$4+'TCO TO BE - HW'!V$4)/($E$4+'TCO TO BE - HW'!$E$4)*SUM(EXTERNE_POZICIE!$M$53:$M$64)*1.23)/EXTERNE_POZICIE!$B$53)),0)+IFERROR(SUM(#REF!)*'TCO TO BE- SW'!V$4/'TCO TO BE- SW'!$E$4,0)</f>
        <v>0</v>
      </c>
      <c r="W163" s="565">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HW'!$E$4)*SUM(POZICIE_INTERNE!$I$52:$I$63))/POZICIE_INTERNE!$B$52)),0)+IFERROR(IF((EXTERNE_POZICIE!$B$53-12*('TCO TO BE- SW'!$D153-1))&gt;12,((W$4+'TCO TO BE - HW'!W$4)/($E$4+'TCO TO BE - HW'!$E$4)*SUM(EXTERNE_POZICIE!$M$53:$M$64)*1.23)/EXTERNE_POZICIE!$B$41*12,IF((EXTERNE_POZICIE!$B$53-12*('TCO TO BE- SW'!$D153-1))&lt;0,0,(EXTERNE_POZICIE!$B$53-12*('TCO TO BE- SW'!$D153-1))*((W$4+'TCO TO BE - HW'!W$4)/($E$4+'TCO TO BE - HW'!$E$4)*SUM(EXTERNE_POZICIE!$M$53:$M$64)*1.23)/EXTERNE_POZICIE!$B$53)),0)+IFERROR(SUM(#REF!)*'TCO TO BE- SW'!W$4/'TCO TO BE- SW'!$E$4,0)</f>
        <v>0</v>
      </c>
      <c r="X163" s="565">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HW'!$E$4)*SUM(POZICIE_INTERNE!$I$52:$I$63))/POZICIE_INTERNE!$B$52)),0)+IFERROR(IF((EXTERNE_POZICIE!$B$53-12*('TCO TO BE- SW'!$D153-1))&gt;12,((X$4+'TCO TO BE - HW'!X$4)/($E$4+'TCO TO BE - HW'!$E$4)*SUM(EXTERNE_POZICIE!$M$53:$M$64)*1.23)/EXTERNE_POZICIE!$B$41*12,IF((EXTERNE_POZICIE!$B$53-12*('TCO TO BE- SW'!$D153-1))&lt;0,0,(EXTERNE_POZICIE!$B$53-12*('TCO TO BE- SW'!$D153-1))*((X$4+'TCO TO BE - HW'!X$4)/($E$4+'TCO TO BE - HW'!$E$4)*SUM(EXTERNE_POZICIE!$M$53:$M$64)*1.23)/EXTERNE_POZICIE!$B$53)),0)+IFERROR(SUM(#REF!)*'TCO TO BE- SW'!X$4/'TCO TO BE- SW'!$E$4,0)</f>
        <v>0</v>
      </c>
      <c r="Y163" s="565">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HW'!$E$4)*SUM(POZICIE_INTERNE!$I$52:$I$63))/POZICIE_INTERNE!$B$52)),0)+IFERROR(IF((EXTERNE_POZICIE!$B$53-12*('TCO TO BE- SW'!$D153-1))&gt;12,((Y$4+'TCO TO BE - HW'!Y$4)/($E$4+'TCO TO BE - HW'!$E$4)*SUM(EXTERNE_POZICIE!$M$53:$M$64)*1.23)/EXTERNE_POZICIE!$B$41*12,IF((EXTERNE_POZICIE!$B$53-12*('TCO TO BE- SW'!$D153-1))&lt;0,0,(EXTERNE_POZICIE!$B$53-12*('TCO TO BE- SW'!$D153-1))*((Y$4+'TCO TO BE - HW'!Y$4)/($E$4+'TCO TO BE - HW'!$E$4)*SUM(EXTERNE_POZICIE!$M$53:$M$64)*1.23)/EXTERNE_POZICIE!$B$53)),0)+IFERROR(SUM(#REF!)*'TCO TO BE- SW'!Y$4/'TCO TO BE- SW'!$E$4,0)</f>
        <v>0</v>
      </c>
      <c r="Z163" s="565">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HW'!$E$4)*SUM(POZICIE_INTERNE!$I$52:$I$63))/POZICIE_INTERNE!$B$52)),0)+IFERROR(IF((EXTERNE_POZICIE!$B$53-12*('TCO TO BE- SW'!$D153-1))&gt;12,((Z$4+'TCO TO BE - HW'!Z$4)/($E$4+'TCO TO BE - HW'!$E$4)*SUM(EXTERNE_POZICIE!$M$53:$M$64)*1.23)/EXTERNE_POZICIE!$B$41*12,IF((EXTERNE_POZICIE!$B$53-12*('TCO TO BE- SW'!$D153-1))&lt;0,0,(EXTERNE_POZICIE!$B$53-12*('TCO TO BE- SW'!$D153-1))*((Z$4+'TCO TO BE - HW'!Z$4)/($E$4+'TCO TO BE - HW'!$E$4)*SUM(EXTERNE_POZICIE!$M$53:$M$64)*1.23)/EXTERNE_POZICIE!$B$53)),0)+IFERROR(SUM(#REF!)*'TCO TO BE- SW'!Z$4/'TCO TO BE- SW'!$E$4,0)</f>
        <v>0</v>
      </c>
    </row>
    <row r="164" spans="1:26">
      <c r="A164" s="807"/>
      <c r="B164" s="808"/>
      <c r="C164" s="808"/>
      <c r="D164" s="64">
        <v>4</v>
      </c>
      <c r="E164" s="68">
        <f t="shared" si="16"/>
        <v>0</v>
      </c>
      <c r="F164" s="565">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HW'!$E$4)*SUM(POZICIE_INTERNE!$I$52:$I$63))/POZICIE_INTERNE!$B$52)),0)+IFERROR(IF((EXTERNE_POZICIE!$B$53-12*('TCO TO BE- SW'!$D154-1))&gt;12,((F$4+'TCO TO BE - HW'!F$4)/($E$4+'TCO TO BE - HW'!$E$4)*SUM(EXTERNE_POZICIE!$M$53:$M$64)*1.23)/EXTERNE_POZICIE!$B$41*12,IF((EXTERNE_POZICIE!$B$53-12*('TCO TO BE- SW'!$D154-1))&lt;0,0,(EXTERNE_POZICIE!$B$53-12*('TCO TO BE- SW'!$D154-1))*((F$4+'TCO TO BE - HW'!F$4)/($E$4+'TCO TO BE - HW'!$E$4)*SUM(EXTERNE_POZICIE!$M$53:$M$64)*1.23)/EXTERNE_POZICIE!$B$53)),0)+IFERROR(SUM(#REF!)*'TCO TO BE- SW'!F$4/'TCO TO BE- SW'!$E$4,0)</f>
        <v>0</v>
      </c>
      <c r="G164" s="565">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HW'!$E$4)*SUM(POZICIE_INTERNE!$I$52:$I$63))/POZICIE_INTERNE!$B$52)),0)+IFERROR(IF((EXTERNE_POZICIE!$B$53-12*('TCO TO BE- SW'!$D154-1))&gt;12,((G$4+'TCO TO BE - HW'!G$4)/($E$4+'TCO TO BE - HW'!$E$4)*SUM(EXTERNE_POZICIE!$M$53:$M$64)*1.23)/EXTERNE_POZICIE!$B$41*12,IF((EXTERNE_POZICIE!$B$53-12*('TCO TO BE- SW'!$D154-1))&lt;0,0,(EXTERNE_POZICIE!$B$53-12*('TCO TO BE- SW'!$D154-1))*((G$4+'TCO TO BE - HW'!G$4)/($E$4+'TCO TO BE - HW'!$E$4)*SUM(EXTERNE_POZICIE!$M$53:$M$64)*1.23)/EXTERNE_POZICIE!$B$53)),0)+IFERROR(SUM(#REF!)*'TCO TO BE- SW'!G$4/'TCO TO BE- SW'!$E$4,0)</f>
        <v>0</v>
      </c>
      <c r="H164" s="565">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HW'!$E$4)*SUM(POZICIE_INTERNE!$I$52:$I$63))/POZICIE_INTERNE!$B$52)),0)+IFERROR(IF((EXTERNE_POZICIE!$B$53-12*('TCO TO BE- SW'!$D154-1))&gt;12,((H$4+'TCO TO BE - HW'!H$4)/($E$4+'TCO TO BE - HW'!$E$4)*SUM(EXTERNE_POZICIE!$M$53:$M$64)*1.23)/EXTERNE_POZICIE!$B$41*12,IF((EXTERNE_POZICIE!$B$53-12*('TCO TO BE- SW'!$D154-1))&lt;0,0,(EXTERNE_POZICIE!$B$53-12*('TCO TO BE- SW'!$D154-1))*((H$4+'TCO TO BE - HW'!H$4)/($E$4+'TCO TO BE - HW'!$E$4)*SUM(EXTERNE_POZICIE!$M$53:$M$64)*1.23)/EXTERNE_POZICIE!$B$53)),0)+IFERROR(SUM(#REF!)*'TCO TO BE- SW'!H$4/'TCO TO BE- SW'!$E$4,0)</f>
        <v>0</v>
      </c>
      <c r="I164" s="565">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HW'!$E$4)*SUM(POZICIE_INTERNE!$I$52:$I$63))/POZICIE_INTERNE!$B$52)),0)+IFERROR(IF((EXTERNE_POZICIE!$B$53-12*('TCO TO BE- SW'!$D154-1))&gt;12,((I$4+'TCO TO BE - HW'!I$4)/($E$4+'TCO TO BE - HW'!$E$4)*SUM(EXTERNE_POZICIE!$M$53:$M$64)*1.23)/EXTERNE_POZICIE!$B$41*12,IF((EXTERNE_POZICIE!$B$53-12*('TCO TO BE- SW'!$D154-1))&lt;0,0,(EXTERNE_POZICIE!$B$53-12*('TCO TO BE- SW'!$D154-1))*((I$4+'TCO TO BE - HW'!I$4)/($E$4+'TCO TO BE - HW'!$E$4)*SUM(EXTERNE_POZICIE!$M$53:$M$64)*1.23)/EXTERNE_POZICIE!$B$53)),0)+IFERROR(SUM(#REF!)*'TCO TO BE- SW'!I$4/'TCO TO BE- SW'!$E$4,0)</f>
        <v>0</v>
      </c>
      <c r="J164" s="565">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HW'!$E$4)*SUM(POZICIE_INTERNE!$I$52:$I$63))/POZICIE_INTERNE!$B$52)),0)+IFERROR(IF((EXTERNE_POZICIE!$B$53-12*('TCO TO BE- SW'!$D154-1))&gt;12,((J$4+'TCO TO BE - HW'!J$4)/($E$4+'TCO TO BE - HW'!$E$4)*SUM(EXTERNE_POZICIE!$M$53:$M$64)*1.23)/EXTERNE_POZICIE!$B$41*12,IF((EXTERNE_POZICIE!$B$53-12*('TCO TO BE- SW'!$D154-1))&lt;0,0,(EXTERNE_POZICIE!$B$53-12*('TCO TO BE- SW'!$D154-1))*((J$4+'TCO TO BE - HW'!J$4)/($E$4+'TCO TO BE - HW'!$E$4)*SUM(EXTERNE_POZICIE!$M$53:$M$64)*1.23)/EXTERNE_POZICIE!$B$53)),0)+IFERROR(SUM(#REF!)*'TCO TO BE- SW'!J$4/'TCO TO BE- SW'!$E$4,0)</f>
        <v>0</v>
      </c>
      <c r="K164" s="565">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HW'!$E$4)*SUM(POZICIE_INTERNE!$I$52:$I$63))/POZICIE_INTERNE!$B$52)),0)+IFERROR(IF((EXTERNE_POZICIE!$B$53-12*('TCO TO BE- SW'!$D154-1))&gt;12,((K$4+'TCO TO BE - HW'!K$4)/($E$4+'TCO TO BE - HW'!$E$4)*SUM(EXTERNE_POZICIE!$M$53:$M$64)*1.23)/EXTERNE_POZICIE!$B$41*12,IF((EXTERNE_POZICIE!$B$53-12*('TCO TO BE- SW'!$D154-1))&lt;0,0,(EXTERNE_POZICIE!$B$53-12*('TCO TO BE- SW'!$D154-1))*((K$4+'TCO TO BE - HW'!K$4)/($E$4+'TCO TO BE - HW'!$E$4)*SUM(EXTERNE_POZICIE!$M$53:$M$64)*1.23)/EXTERNE_POZICIE!$B$53)),0)+IFERROR(SUM(#REF!)*'TCO TO BE- SW'!K$4/'TCO TO BE- SW'!$E$4,0)</f>
        <v>0</v>
      </c>
      <c r="L164" s="565">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HW'!$E$4)*SUM(POZICIE_INTERNE!$I$52:$I$63))/POZICIE_INTERNE!$B$52)),0)+IFERROR(IF((EXTERNE_POZICIE!$B$53-12*('TCO TO BE- SW'!$D154-1))&gt;12,((L$4+'TCO TO BE - HW'!L$4)/($E$4+'TCO TO BE - HW'!$E$4)*SUM(EXTERNE_POZICIE!$M$53:$M$64)*1.23)/EXTERNE_POZICIE!$B$41*12,IF((EXTERNE_POZICIE!$B$53-12*('TCO TO BE- SW'!$D154-1))&lt;0,0,(EXTERNE_POZICIE!$B$53-12*('TCO TO BE- SW'!$D154-1))*((L$4+'TCO TO BE - HW'!L$4)/($E$4+'TCO TO BE - HW'!$E$4)*SUM(EXTERNE_POZICIE!$M$53:$M$64)*1.23)/EXTERNE_POZICIE!$B$53)),0)+IFERROR(SUM(#REF!)*'TCO TO BE- SW'!L$4/'TCO TO BE- SW'!$E$4,0)</f>
        <v>0</v>
      </c>
      <c r="M164" s="565">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HW'!$E$4)*SUM(POZICIE_INTERNE!$I$52:$I$63))/POZICIE_INTERNE!$B$52)),0)+IFERROR(IF((EXTERNE_POZICIE!$B$53-12*('TCO TO BE- SW'!$D154-1))&gt;12,((M$4+'TCO TO BE - HW'!M$4)/($E$4+'TCO TO BE - HW'!$E$4)*SUM(EXTERNE_POZICIE!$M$53:$M$64)*1.23)/EXTERNE_POZICIE!$B$41*12,IF((EXTERNE_POZICIE!$B$53-12*('TCO TO BE- SW'!$D154-1))&lt;0,0,(EXTERNE_POZICIE!$B$53-12*('TCO TO BE- SW'!$D154-1))*((M$4+'TCO TO BE - HW'!M$4)/($E$4+'TCO TO BE - HW'!$E$4)*SUM(EXTERNE_POZICIE!$M$53:$M$64)*1.23)/EXTERNE_POZICIE!$B$53)),0)+IFERROR(SUM(#REF!)*'TCO TO BE- SW'!M$4/'TCO TO BE- SW'!$E$4,0)</f>
        <v>0</v>
      </c>
      <c r="N164" s="565">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HW'!$E$4)*SUM(POZICIE_INTERNE!$I$52:$I$63))/POZICIE_INTERNE!$B$52)),0)+IFERROR(IF((EXTERNE_POZICIE!$B$53-12*('TCO TO BE- SW'!$D154-1))&gt;12,((N$4+'TCO TO BE - HW'!N$4)/($E$4+'TCO TO BE - HW'!$E$4)*SUM(EXTERNE_POZICIE!$M$53:$M$64)*1.23)/EXTERNE_POZICIE!$B$41*12,IF((EXTERNE_POZICIE!$B$53-12*('TCO TO BE- SW'!$D154-1))&lt;0,0,(EXTERNE_POZICIE!$B$53-12*('TCO TO BE- SW'!$D154-1))*((N$4+'TCO TO BE - HW'!N$4)/($E$4+'TCO TO BE - HW'!$E$4)*SUM(EXTERNE_POZICIE!$M$53:$M$64)*1.23)/EXTERNE_POZICIE!$B$53)),0)+IFERROR(SUM(#REF!)*'TCO TO BE- SW'!N$4/'TCO TO BE- SW'!$E$4,0)</f>
        <v>0</v>
      </c>
      <c r="O164" s="565">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HW'!$E$4)*SUM(POZICIE_INTERNE!$I$52:$I$63))/POZICIE_INTERNE!$B$52)),0)+IFERROR(IF((EXTERNE_POZICIE!$B$53-12*('TCO TO BE- SW'!$D154-1))&gt;12,((O$4+'TCO TO BE - HW'!O$4)/($E$4+'TCO TO BE - HW'!$E$4)*SUM(EXTERNE_POZICIE!$M$53:$M$64)*1.23)/EXTERNE_POZICIE!$B$41*12,IF((EXTERNE_POZICIE!$B$53-12*('TCO TO BE- SW'!$D154-1))&lt;0,0,(EXTERNE_POZICIE!$B$53-12*('TCO TO BE- SW'!$D154-1))*((O$4+'TCO TO BE - HW'!O$4)/($E$4+'TCO TO BE - HW'!$E$4)*SUM(EXTERNE_POZICIE!$M$53:$M$64)*1.23)/EXTERNE_POZICIE!$B$53)),0)+IFERROR(SUM(#REF!)*'TCO TO BE- SW'!O$4/'TCO TO BE- SW'!$E$4,0)</f>
        <v>0</v>
      </c>
      <c r="P164" s="565">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HW'!$E$4)*SUM(POZICIE_INTERNE!$I$52:$I$63))/POZICIE_INTERNE!$B$52)),0)+IFERROR(IF((EXTERNE_POZICIE!$B$53-12*('TCO TO BE- SW'!$D154-1))&gt;12,((P$4+'TCO TO BE - HW'!P$4)/($E$4+'TCO TO BE - HW'!$E$4)*SUM(EXTERNE_POZICIE!$M$53:$M$64)*1.23)/EXTERNE_POZICIE!$B$41*12,IF((EXTERNE_POZICIE!$B$53-12*('TCO TO BE- SW'!$D154-1))&lt;0,0,(EXTERNE_POZICIE!$B$53-12*('TCO TO BE- SW'!$D154-1))*((P$4+'TCO TO BE - HW'!P$4)/($E$4+'TCO TO BE - HW'!$E$4)*SUM(EXTERNE_POZICIE!$M$53:$M$64)*1.23)/EXTERNE_POZICIE!$B$53)),0)+IFERROR(SUM(#REF!)*'TCO TO BE- SW'!P$4/'TCO TO BE- SW'!$E$4,0)</f>
        <v>0</v>
      </c>
      <c r="Q164" s="565">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HW'!$E$4)*SUM(POZICIE_INTERNE!$I$52:$I$63))/POZICIE_INTERNE!$B$52)),0)+IFERROR(IF((EXTERNE_POZICIE!$B$53-12*('TCO TO BE- SW'!$D154-1))&gt;12,((Q$4+'TCO TO BE - HW'!Q$4)/($E$4+'TCO TO BE - HW'!$E$4)*SUM(EXTERNE_POZICIE!$M$53:$M$64)*1.23)/EXTERNE_POZICIE!$B$41*12,IF((EXTERNE_POZICIE!$B$53-12*('TCO TO BE- SW'!$D154-1))&lt;0,0,(EXTERNE_POZICIE!$B$53-12*('TCO TO BE- SW'!$D154-1))*((Q$4+'TCO TO BE - HW'!Q$4)/($E$4+'TCO TO BE - HW'!$E$4)*SUM(EXTERNE_POZICIE!$M$53:$M$64)*1.23)/EXTERNE_POZICIE!$B$53)),0)+IFERROR(SUM(#REF!)*'TCO TO BE- SW'!Q$4/'TCO TO BE- SW'!$E$4,0)</f>
        <v>0</v>
      </c>
      <c r="R164" s="565">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HW'!$E$4)*SUM(POZICIE_INTERNE!$I$52:$I$63))/POZICIE_INTERNE!$B$52)),0)+IFERROR(IF((EXTERNE_POZICIE!$B$53-12*('TCO TO BE- SW'!$D154-1))&gt;12,((R$4+'TCO TO BE - HW'!R$4)/($E$4+'TCO TO BE - HW'!$E$4)*SUM(EXTERNE_POZICIE!$M$53:$M$64)*1.23)/EXTERNE_POZICIE!$B$41*12,IF((EXTERNE_POZICIE!$B$53-12*('TCO TO BE- SW'!$D154-1))&lt;0,0,(EXTERNE_POZICIE!$B$53-12*('TCO TO BE- SW'!$D154-1))*((R$4+'TCO TO BE - HW'!R$4)/($E$4+'TCO TO BE - HW'!$E$4)*SUM(EXTERNE_POZICIE!$M$53:$M$64)*1.23)/EXTERNE_POZICIE!$B$53)),0)+IFERROR(SUM(#REF!)*'TCO TO BE- SW'!R$4/'TCO TO BE- SW'!$E$4,0)</f>
        <v>0</v>
      </c>
      <c r="S164" s="565">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HW'!$E$4)*SUM(POZICIE_INTERNE!$I$52:$I$63))/POZICIE_INTERNE!$B$52)),0)+IFERROR(IF((EXTERNE_POZICIE!$B$53-12*('TCO TO BE- SW'!$D154-1))&gt;12,((S$4+'TCO TO BE - HW'!S$4)/($E$4+'TCO TO BE - HW'!$E$4)*SUM(EXTERNE_POZICIE!$M$53:$M$64)*1.23)/EXTERNE_POZICIE!$B$41*12,IF((EXTERNE_POZICIE!$B$53-12*('TCO TO BE- SW'!$D154-1))&lt;0,0,(EXTERNE_POZICIE!$B$53-12*('TCO TO BE- SW'!$D154-1))*((S$4+'TCO TO BE - HW'!S$4)/($E$4+'TCO TO BE - HW'!$E$4)*SUM(EXTERNE_POZICIE!$M$53:$M$64)*1.23)/EXTERNE_POZICIE!$B$53)),0)+IFERROR(SUM(#REF!)*'TCO TO BE- SW'!S$4/'TCO TO BE- SW'!$E$4,0)</f>
        <v>0</v>
      </c>
      <c r="T164" s="565">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HW'!$E$4)*SUM(POZICIE_INTERNE!$I$52:$I$63))/POZICIE_INTERNE!$B$52)),0)+IFERROR(IF((EXTERNE_POZICIE!$B$53-12*('TCO TO BE- SW'!$D154-1))&gt;12,((T$4+'TCO TO BE - HW'!T$4)/($E$4+'TCO TO BE - HW'!$E$4)*SUM(EXTERNE_POZICIE!$M$53:$M$64)*1.23)/EXTERNE_POZICIE!$B$41*12,IF((EXTERNE_POZICIE!$B$53-12*('TCO TO BE- SW'!$D154-1))&lt;0,0,(EXTERNE_POZICIE!$B$53-12*('TCO TO BE- SW'!$D154-1))*((T$4+'TCO TO BE - HW'!T$4)/($E$4+'TCO TO BE - HW'!$E$4)*SUM(EXTERNE_POZICIE!$M$53:$M$64)*1.23)/EXTERNE_POZICIE!$B$53)),0)+IFERROR(SUM(#REF!)*'TCO TO BE- SW'!T$4/'TCO TO BE- SW'!$E$4,0)</f>
        <v>0</v>
      </c>
      <c r="U164" s="565">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HW'!$E$4)*SUM(POZICIE_INTERNE!$I$52:$I$63))/POZICIE_INTERNE!$B$52)),0)+IFERROR(IF((EXTERNE_POZICIE!$B$53-12*('TCO TO BE- SW'!$D154-1))&gt;12,((U$4+'TCO TO BE - HW'!U$4)/($E$4+'TCO TO BE - HW'!$E$4)*SUM(EXTERNE_POZICIE!$M$53:$M$64)*1.23)/EXTERNE_POZICIE!$B$41*12,IF((EXTERNE_POZICIE!$B$53-12*('TCO TO BE- SW'!$D154-1))&lt;0,0,(EXTERNE_POZICIE!$B$53-12*('TCO TO BE- SW'!$D154-1))*((U$4+'TCO TO BE - HW'!U$4)/($E$4+'TCO TO BE - HW'!$E$4)*SUM(EXTERNE_POZICIE!$M$53:$M$64)*1.23)/EXTERNE_POZICIE!$B$53)),0)+IFERROR(SUM(#REF!)*'TCO TO BE- SW'!U$4/'TCO TO BE- SW'!$E$4,0)</f>
        <v>0</v>
      </c>
      <c r="V164" s="565">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HW'!$E$4)*SUM(POZICIE_INTERNE!$I$52:$I$63))/POZICIE_INTERNE!$B$52)),0)+IFERROR(IF((EXTERNE_POZICIE!$B$53-12*('TCO TO BE- SW'!$D154-1))&gt;12,((V$4+'TCO TO BE - HW'!V$4)/($E$4+'TCO TO BE - HW'!$E$4)*SUM(EXTERNE_POZICIE!$M$53:$M$64)*1.23)/EXTERNE_POZICIE!$B$41*12,IF((EXTERNE_POZICIE!$B$53-12*('TCO TO BE- SW'!$D154-1))&lt;0,0,(EXTERNE_POZICIE!$B$53-12*('TCO TO BE- SW'!$D154-1))*((V$4+'TCO TO BE - HW'!V$4)/($E$4+'TCO TO BE - HW'!$E$4)*SUM(EXTERNE_POZICIE!$M$53:$M$64)*1.23)/EXTERNE_POZICIE!$B$53)),0)+IFERROR(SUM(#REF!)*'TCO TO BE- SW'!V$4/'TCO TO BE- SW'!$E$4,0)</f>
        <v>0</v>
      </c>
      <c r="W164" s="565">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HW'!$E$4)*SUM(POZICIE_INTERNE!$I$52:$I$63))/POZICIE_INTERNE!$B$52)),0)+IFERROR(IF((EXTERNE_POZICIE!$B$53-12*('TCO TO BE- SW'!$D154-1))&gt;12,((W$4+'TCO TO BE - HW'!W$4)/($E$4+'TCO TO BE - HW'!$E$4)*SUM(EXTERNE_POZICIE!$M$53:$M$64)*1.23)/EXTERNE_POZICIE!$B$41*12,IF((EXTERNE_POZICIE!$B$53-12*('TCO TO BE- SW'!$D154-1))&lt;0,0,(EXTERNE_POZICIE!$B$53-12*('TCO TO BE- SW'!$D154-1))*((W$4+'TCO TO BE - HW'!W$4)/($E$4+'TCO TO BE - HW'!$E$4)*SUM(EXTERNE_POZICIE!$M$53:$M$64)*1.23)/EXTERNE_POZICIE!$B$53)),0)+IFERROR(SUM(#REF!)*'TCO TO BE- SW'!W$4/'TCO TO BE- SW'!$E$4,0)</f>
        <v>0</v>
      </c>
      <c r="X164" s="565">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HW'!$E$4)*SUM(POZICIE_INTERNE!$I$52:$I$63))/POZICIE_INTERNE!$B$52)),0)+IFERROR(IF((EXTERNE_POZICIE!$B$53-12*('TCO TO BE- SW'!$D154-1))&gt;12,((X$4+'TCO TO BE - HW'!X$4)/($E$4+'TCO TO BE - HW'!$E$4)*SUM(EXTERNE_POZICIE!$M$53:$M$64)*1.23)/EXTERNE_POZICIE!$B$41*12,IF((EXTERNE_POZICIE!$B$53-12*('TCO TO BE- SW'!$D154-1))&lt;0,0,(EXTERNE_POZICIE!$B$53-12*('TCO TO BE- SW'!$D154-1))*((X$4+'TCO TO BE - HW'!X$4)/($E$4+'TCO TO BE - HW'!$E$4)*SUM(EXTERNE_POZICIE!$M$53:$M$64)*1.23)/EXTERNE_POZICIE!$B$53)),0)+IFERROR(SUM(#REF!)*'TCO TO BE- SW'!X$4/'TCO TO BE- SW'!$E$4,0)</f>
        <v>0</v>
      </c>
      <c r="Y164" s="565">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HW'!$E$4)*SUM(POZICIE_INTERNE!$I$52:$I$63))/POZICIE_INTERNE!$B$52)),0)+IFERROR(IF((EXTERNE_POZICIE!$B$53-12*('TCO TO BE- SW'!$D154-1))&gt;12,((Y$4+'TCO TO BE - HW'!Y$4)/($E$4+'TCO TO BE - HW'!$E$4)*SUM(EXTERNE_POZICIE!$M$53:$M$64)*1.23)/EXTERNE_POZICIE!$B$41*12,IF((EXTERNE_POZICIE!$B$53-12*('TCO TO BE- SW'!$D154-1))&lt;0,0,(EXTERNE_POZICIE!$B$53-12*('TCO TO BE- SW'!$D154-1))*((Y$4+'TCO TO BE - HW'!Y$4)/($E$4+'TCO TO BE - HW'!$E$4)*SUM(EXTERNE_POZICIE!$M$53:$M$64)*1.23)/EXTERNE_POZICIE!$B$53)),0)+IFERROR(SUM(#REF!)*'TCO TO BE- SW'!Y$4/'TCO TO BE- SW'!$E$4,0)</f>
        <v>0</v>
      </c>
      <c r="Z164" s="565">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HW'!$E$4)*SUM(POZICIE_INTERNE!$I$52:$I$63))/POZICIE_INTERNE!$B$52)),0)+IFERROR(IF((EXTERNE_POZICIE!$B$53-12*('TCO TO BE- SW'!$D154-1))&gt;12,((Z$4+'TCO TO BE - HW'!Z$4)/($E$4+'TCO TO BE - HW'!$E$4)*SUM(EXTERNE_POZICIE!$M$53:$M$64)*1.23)/EXTERNE_POZICIE!$B$41*12,IF((EXTERNE_POZICIE!$B$53-12*('TCO TO BE- SW'!$D154-1))&lt;0,0,(EXTERNE_POZICIE!$B$53-12*('TCO TO BE- SW'!$D154-1))*((Z$4+'TCO TO BE - HW'!Z$4)/($E$4+'TCO TO BE - HW'!$E$4)*SUM(EXTERNE_POZICIE!$M$53:$M$64)*1.23)/EXTERNE_POZICIE!$B$53)),0)+IFERROR(SUM(#REF!)*'TCO TO BE- SW'!Z$4/'TCO TO BE- SW'!$E$4,0)</f>
        <v>0</v>
      </c>
    </row>
    <row r="165" spans="1:26">
      <c r="A165" s="807"/>
      <c r="B165" s="808"/>
      <c r="C165" s="808"/>
      <c r="D165" s="64">
        <v>5</v>
      </c>
      <c r="E165" s="68">
        <f t="shared" si="16"/>
        <v>0</v>
      </c>
      <c r="F165" s="565">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HW'!$E$4)*SUM(POZICIE_INTERNE!$I$52:$I$63))/POZICIE_INTERNE!$B$52)),0)+IFERROR(IF((EXTERNE_POZICIE!$B$53-12*('TCO TO BE- SW'!$D155-1))&gt;12,((F$4+'TCO TO BE - HW'!F$4)/($E$4+'TCO TO BE - HW'!$E$4)*SUM(EXTERNE_POZICIE!$M$53:$M$64)*1.23)/EXTERNE_POZICIE!$B$41*12,IF((EXTERNE_POZICIE!$B$53-12*('TCO TO BE- SW'!$D155-1))&lt;0,0,(EXTERNE_POZICIE!$B$53-12*('TCO TO BE- SW'!$D155-1))*((F$4+'TCO TO BE - HW'!F$4)/($E$4+'TCO TO BE - HW'!$E$4)*SUM(EXTERNE_POZICIE!$M$53:$M$64)*1.23)/EXTERNE_POZICIE!$B$53)),0)+IFERROR(SUM(#REF!)*'TCO TO BE- SW'!F$4/'TCO TO BE- SW'!$E$4,0)</f>
        <v>0</v>
      </c>
      <c r="G165" s="565">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HW'!$E$4)*SUM(POZICIE_INTERNE!$I$52:$I$63))/POZICIE_INTERNE!$B$52)),0)+IFERROR(IF((EXTERNE_POZICIE!$B$53-12*('TCO TO BE- SW'!$D155-1))&gt;12,((G$4+'TCO TO BE - HW'!G$4)/($E$4+'TCO TO BE - HW'!$E$4)*SUM(EXTERNE_POZICIE!$M$53:$M$64)*1.23)/EXTERNE_POZICIE!$B$41*12,IF((EXTERNE_POZICIE!$B$53-12*('TCO TO BE- SW'!$D155-1))&lt;0,0,(EXTERNE_POZICIE!$B$53-12*('TCO TO BE- SW'!$D155-1))*((G$4+'TCO TO BE - HW'!G$4)/($E$4+'TCO TO BE - HW'!$E$4)*SUM(EXTERNE_POZICIE!$M$53:$M$64)*1.23)/EXTERNE_POZICIE!$B$53)),0)+IFERROR(SUM(#REF!)*'TCO TO BE- SW'!G$4/'TCO TO BE- SW'!$E$4,0)</f>
        <v>0</v>
      </c>
      <c r="H165" s="565">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HW'!$E$4)*SUM(POZICIE_INTERNE!$I$52:$I$63))/POZICIE_INTERNE!$B$52)),0)+IFERROR(IF((EXTERNE_POZICIE!$B$53-12*('TCO TO BE- SW'!$D155-1))&gt;12,((H$4+'TCO TO BE - HW'!H$4)/($E$4+'TCO TO BE - HW'!$E$4)*SUM(EXTERNE_POZICIE!$M$53:$M$64)*1.23)/EXTERNE_POZICIE!$B$41*12,IF((EXTERNE_POZICIE!$B$53-12*('TCO TO BE- SW'!$D155-1))&lt;0,0,(EXTERNE_POZICIE!$B$53-12*('TCO TO BE- SW'!$D155-1))*((H$4+'TCO TO BE - HW'!H$4)/($E$4+'TCO TO BE - HW'!$E$4)*SUM(EXTERNE_POZICIE!$M$53:$M$64)*1.23)/EXTERNE_POZICIE!$B$53)),0)+IFERROR(SUM(#REF!)*'TCO TO BE- SW'!H$4/'TCO TO BE- SW'!$E$4,0)</f>
        <v>0</v>
      </c>
      <c r="I165" s="565">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HW'!$E$4)*SUM(POZICIE_INTERNE!$I$52:$I$63))/POZICIE_INTERNE!$B$52)),0)+IFERROR(IF((EXTERNE_POZICIE!$B$53-12*('TCO TO BE- SW'!$D155-1))&gt;12,((I$4+'TCO TO BE - HW'!I$4)/($E$4+'TCO TO BE - HW'!$E$4)*SUM(EXTERNE_POZICIE!$M$53:$M$64)*1.23)/EXTERNE_POZICIE!$B$41*12,IF((EXTERNE_POZICIE!$B$53-12*('TCO TO BE- SW'!$D155-1))&lt;0,0,(EXTERNE_POZICIE!$B$53-12*('TCO TO BE- SW'!$D155-1))*((I$4+'TCO TO BE - HW'!I$4)/($E$4+'TCO TO BE - HW'!$E$4)*SUM(EXTERNE_POZICIE!$M$53:$M$64)*1.23)/EXTERNE_POZICIE!$B$53)),0)+IFERROR(SUM(#REF!)*'TCO TO BE- SW'!I$4/'TCO TO BE- SW'!$E$4,0)</f>
        <v>0</v>
      </c>
      <c r="J165" s="565">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HW'!$E$4)*SUM(POZICIE_INTERNE!$I$52:$I$63))/POZICIE_INTERNE!$B$52)),0)+IFERROR(IF((EXTERNE_POZICIE!$B$53-12*('TCO TO BE- SW'!$D155-1))&gt;12,((J$4+'TCO TO BE - HW'!J$4)/($E$4+'TCO TO BE - HW'!$E$4)*SUM(EXTERNE_POZICIE!$M$53:$M$64)*1.23)/EXTERNE_POZICIE!$B$41*12,IF((EXTERNE_POZICIE!$B$53-12*('TCO TO BE- SW'!$D155-1))&lt;0,0,(EXTERNE_POZICIE!$B$53-12*('TCO TO BE- SW'!$D155-1))*((J$4+'TCO TO BE - HW'!J$4)/($E$4+'TCO TO BE - HW'!$E$4)*SUM(EXTERNE_POZICIE!$M$53:$M$64)*1.23)/EXTERNE_POZICIE!$B$53)),0)+IFERROR(SUM(#REF!)*'TCO TO BE- SW'!J$4/'TCO TO BE- SW'!$E$4,0)</f>
        <v>0</v>
      </c>
      <c r="K165" s="565">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HW'!$E$4)*SUM(POZICIE_INTERNE!$I$52:$I$63))/POZICIE_INTERNE!$B$52)),0)+IFERROR(IF((EXTERNE_POZICIE!$B$53-12*('TCO TO BE- SW'!$D155-1))&gt;12,((K$4+'TCO TO BE - HW'!K$4)/($E$4+'TCO TO BE - HW'!$E$4)*SUM(EXTERNE_POZICIE!$M$53:$M$64)*1.23)/EXTERNE_POZICIE!$B$41*12,IF((EXTERNE_POZICIE!$B$53-12*('TCO TO BE- SW'!$D155-1))&lt;0,0,(EXTERNE_POZICIE!$B$53-12*('TCO TO BE- SW'!$D155-1))*((K$4+'TCO TO BE - HW'!K$4)/($E$4+'TCO TO BE - HW'!$E$4)*SUM(EXTERNE_POZICIE!$M$53:$M$64)*1.23)/EXTERNE_POZICIE!$B$53)),0)+IFERROR(SUM(#REF!)*'TCO TO BE- SW'!K$4/'TCO TO BE- SW'!$E$4,0)</f>
        <v>0</v>
      </c>
      <c r="L165" s="565">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HW'!$E$4)*SUM(POZICIE_INTERNE!$I$52:$I$63))/POZICIE_INTERNE!$B$52)),0)+IFERROR(IF((EXTERNE_POZICIE!$B$53-12*('TCO TO BE- SW'!$D155-1))&gt;12,((L$4+'TCO TO BE - HW'!L$4)/($E$4+'TCO TO BE - HW'!$E$4)*SUM(EXTERNE_POZICIE!$M$53:$M$64)*1.23)/EXTERNE_POZICIE!$B$41*12,IF((EXTERNE_POZICIE!$B$53-12*('TCO TO BE- SW'!$D155-1))&lt;0,0,(EXTERNE_POZICIE!$B$53-12*('TCO TO BE- SW'!$D155-1))*((L$4+'TCO TO BE - HW'!L$4)/($E$4+'TCO TO BE - HW'!$E$4)*SUM(EXTERNE_POZICIE!$M$53:$M$64)*1.23)/EXTERNE_POZICIE!$B$53)),0)+IFERROR(SUM(#REF!)*'TCO TO BE- SW'!L$4/'TCO TO BE- SW'!$E$4,0)</f>
        <v>0</v>
      </c>
      <c r="M165" s="565">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HW'!$E$4)*SUM(POZICIE_INTERNE!$I$52:$I$63))/POZICIE_INTERNE!$B$52)),0)+IFERROR(IF((EXTERNE_POZICIE!$B$53-12*('TCO TO BE- SW'!$D155-1))&gt;12,((M$4+'TCO TO BE - HW'!M$4)/($E$4+'TCO TO BE - HW'!$E$4)*SUM(EXTERNE_POZICIE!$M$53:$M$64)*1.23)/EXTERNE_POZICIE!$B$41*12,IF((EXTERNE_POZICIE!$B$53-12*('TCO TO BE- SW'!$D155-1))&lt;0,0,(EXTERNE_POZICIE!$B$53-12*('TCO TO BE- SW'!$D155-1))*((M$4+'TCO TO BE - HW'!M$4)/($E$4+'TCO TO BE - HW'!$E$4)*SUM(EXTERNE_POZICIE!$M$53:$M$64)*1.23)/EXTERNE_POZICIE!$B$53)),0)+IFERROR(SUM(#REF!)*'TCO TO BE- SW'!M$4/'TCO TO BE- SW'!$E$4,0)</f>
        <v>0</v>
      </c>
      <c r="N165" s="565">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HW'!$E$4)*SUM(POZICIE_INTERNE!$I$52:$I$63))/POZICIE_INTERNE!$B$52)),0)+IFERROR(IF((EXTERNE_POZICIE!$B$53-12*('TCO TO BE- SW'!$D155-1))&gt;12,((N$4+'TCO TO BE - HW'!N$4)/($E$4+'TCO TO BE - HW'!$E$4)*SUM(EXTERNE_POZICIE!$M$53:$M$64)*1.23)/EXTERNE_POZICIE!$B$41*12,IF((EXTERNE_POZICIE!$B$53-12*('TCO TO BE- SW'!$D155-1))&lt;0,0,(EXTERNE_POZICIE!$B$53-12*('TCO TO BE- SW'!$D155-1))*((N$4+'TCO TO BE - HW'!N$4)/($E$4+'TCO TO BE - HW'!$E$4)*SUM(EXTERNE_POZICIE!$M$53:$M$64)*1.23)/EXTERNE_POZICIE!$B$53)),0)+IFERROR(SUM(#REF!)*'TCO TO BE- SW'!N$4/'TCO TO BE- SW'!$E$4,0)</f>
        <v>0</v>
      </c>
      <c r="O165" s="565">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HW'!$E$4)*SUM(POZICIE_INTERNE!$I$52:$I$63))/POZICIE_INTERNE!$B$52)),0)+IFERROR(IF((EXTERNE_POZICIE!$B$53-12*('TCO TO BE- SW'!$D155-1))&gt;12,((O$4+'TCO TO BE - HW'!O$4)/($E$4+'TCO TO BE - HW'!$E$4)*SUM(EXTERNE_POZICIE!$M$53:$M$64)*1.23)/EXTERNE_POZICIE!$B$41*12,IF((EXTERNE_POZICIE!$B$53-12*('TCO TO BE- SW'!$D155-1))&lt;0,0,(EXTERNE_POZICIE!$B$53-12*('TCO TO BE- SW'!$D155-1))*((O$4+'TCO TO BE - HW'!O$4)/($E$4+'TCO TO BE - HW'!$E$4)*SUM(EXTERNE_POZICIE!$M$53:$M$64)*1.23)/EXTERNE_POZICIE!$B$53)),0)+IFERROR(SUM(#REF!)*'TCO TO BE- SW'!O$4/'TCO TO BE- SW'!$E$4,0)</f>
        <v>0</v>
      </c>
      <c r="P165" s="565">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HW'!$E$4)*SUM(POZICIE_INTERNE!$I$52:$I$63))/POZICIE_INTERNE!$B$52)),0)+IFERROR(IF((EXTERNE_POZICIE!$B$53-12*('TCO TO BE- SW'!$D155-1))&gt;12,((P$4+'TCO TO BE - HW'!P$4)/($E$4+'TCO TO BE - HW'!$E$4)*SUM(EXTERNE_POZICIE!$M$53:$M$64)*1.23)/EXTERNE_POZICIE!$B$41*12,IF((EXTERNE_POZICIE!$B$53-12*('TCO TO BE- SW'!$D155-1))&lt;0,0,(EXTERNE_POZICIE!$B$53-12*('TCO TO BE- SW'!$D155-1))*((P$4+'TCO TO BE - HW'!P$4)/($E$4+'TCO TO BE - HW'!$E$4)*SUM(EXTERNE_POZICIE!$M$53:$M$64)*1.23)/EXTERNE_POZICIE!$B$53)),0)+IFERROR(SUM(#REF!)*'TCO TO BE- SW'!P$4/'TCO TO BE- SW'!$E$4,0)</f>
        <v>0</v>
      </c>
      <c r="Q165" s="565">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HW'!$E$4)*SUM(POZICIE_INTERNE!$I$52:$I$63))/POZICIE_INTERNE!$B$52)),0)+IFERROR(IF((EXTERNE_POZICIE!$B$53-12*('TCO TO BE- SW'!$D155-1))&gt;12,((Q$4+'TCO TO BE - HW'!Q$4)/($E$4+'TCO TO BE - HW'!$E$4)*SUM(EXTERNE_POZICIE!$M$53:$M$64)*1.23)/EXTERNE_POZICIE!$B$41*12,IF((EXTERNE_POZICIE!$B$53-12*('TCO TO BE- SW'!$D155-1))&lt;0,0,(EXTERNE_POZICIE!$B$53-12*('TCO TO BE- SW'!$D155-1))*((Q$4+'TCO TO BE - HW'!Q$4)/($E$4+'TCO TO BE - HW'!$E$4)*SUM(EXTERNE_POZICIE!$M$53:$M$64)*1.23)/EXTERNE_POZICIE!$B$53)),0)+IFERROR(SUM(#REF!)*'TCO TO BE- SW'!Q$4/'TCO TO BE- SW'!$E$4,0)</f>
        <v>0</v>
      </c>
      <c r="R165" s="565">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HW'!$E$4)*SUM(POZICIE_INTERNE!$I$52:$I$63))/POZICIE_INTERNE!$B$52)),0)+IFERROR(IF((EXTERNE_POZICIE!$B$53-12*('TCO TO BE- SW'!$D155-1))&gt;12,((R$4+'TCO TO BE - HW'!R$4)/($E$4+'TCO TO BE - HW'!$E$4)*SUM(EXTERNE_POZICIE!$M$53:$M$64)*1.23)/EXTERNE_POZICIE!$B$41*12,IF((EXTERNE_POZICIE!$B$53-12*('TCO TO BE- SW'!$D155-1))&lt;0,0,(EXTERNE_POZICIE!$B$53-12*('TCO TO BE- SW'!$D155-1))*((R$4+'TCO TO BE - HW'!R$4)/($E$4+'TCO TO BE - HW'!$E$4)*SUM(EXTERNE_POZICIE!$M$53:$M$64)*1.23)/EXTERNE_POZICIE!$B$53)),0)+IFERROR(SUM(#REF!)*'TCO TO BE- SW'!R$4/'TCO TO BE- SW'!$E$4,0)</f>
        <v>0</v>
      </c>
      <c r="S165" s="565">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HW'!$E$4)*SUM(POZICIE_INTERNE!$I$52:$I$63))/POZICIE_INTERNE!$B$52)),0)+IFERROR(IF((EXTERNE_POZICIE!$B$53-12*('TCO TO BE- SW'!$D155-1))&gt;12,((S$4+'TCO TO BE - HW'!S$4)/($E$4+'TCO TO BE - HW'!$E$4)*SUM(EXTERNE_POZICIE!$M$53:$M$64)*1.23)/EXTERNE_POZICIE!$B$41*12,IF((EXTERNE_POZICIE!$B$53-12*('TCO TO BE- SW'!$D155-1))&lt;0,0,(EXTERNE_POZICIE!$B$53-12*('TCO TO BE- SW'!$D155-1))*((S$4+'TCO TO BE - HW'!S$4)/($E$4+'TCO TO BE - HW'!$E$4)*SUM(EXTERNE_POZICIE!$M$53:$M$64)*1.23)/EXTERNE_POZICIE!$B$53)),0)+IFERROR(SUM(#REF!)*'TCO TO BE- SW'!S$4/'TCO TO BE- SW'!$E$4,0)</f>
        <v>0</v>
      </c>
      <c r="T165" s="565">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HW'!$E$4)*SUM(POZICIE_INTERNE!$I$52:$I$63))/POZICIE_INTERNE!$B$52)),0)+IFERROR(IF((EXTERNE_POZICIE!$B$53-12*('TCO TO BE- SW'!$D155-1))&gt;12,((T$4+'TCO TO BE - HW'!T$4)/($E$4+'TCO TO BE - HW'!$E$4)*SUM(EXTERNE_POZICIE!$M$53:$M$64)*1.23)/EXTERNE_POZICIE!$B$41*12,IF((EXTERNE_POZICIE!$B$53-12*('TCO TO BE- SW'!$D155-1))&lt;0,0,(EXTERNE_POZICIE!$B$53-12*('TCO TO BE- SW'!$D155-1))*((T$4+'TCO TO BE - HW'!T$4)/($E$4+'TCO TO BE - HW'!$E$4)*SUM(EXTERNE_POZICIE!$M$53:$M$64)*1.23)/EXTERNE_POZICIE!$B$53)),0)+IFERROR(SUM(#REF!)*'TCO TO BE- SW'!T$4/'TCO TO BE- SW'!$E$4,0)</f>
        <v>0</v>
      </c>
      <c r="U165" s="565">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HW'!$E$4)*SUM(POZICIE_INTERNE!$I$52:$I$63))/POZICIE_INTERNE!$B$52)),0)+IFERROR(IF((EXTERNE_POZICIE!$B$53-12*('TCO TO BE- SW'!$D155-1))&gt;12,((U$4+'TCO TO BE - HW'!U$4)/($E$4+'TCO TO BE - HW'!$E$4)*SUM(EXTERNE_POZICIE!$M$53:$M$64)*1.23)/EXTERNE_POZICIE!$B$41*12,IF((EXTERNE_POZICIE!$B$53-12*('TCO TO BE- SW'!$D155-1))&lt;0,0,(EXTERNE_POZICIE!$B$53-12*('TCO TO BE- SW'!$D155-1))*((U$4+'TCO TO BE - HW'!U$4)/($E$4+'TCO TO BE - HW'!$E$4)*SUM(EXTERNE_POZICIE!$M$53:$M$64)*1.23)/EXTERNE_POZICIE!$B$53)),0)+IFERROR(SUM(#REF!)*'TCO TO BE- SW'!U$4/'TCO TO BE- SW'!$E$4,0)</f>
        <v>0</v>
      </c>
      <c r="V165" s="565">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HW'!$E$4)*SUM(POZICIE_INTERNE!$I$52:$I$63))/POZICIE_INTERNE!$B$52)),0)+IFERROR(IF((EXTERNE_POZICIE!$B$53-12*('TCO TO BE- SW'!$D155-1))&gt;12,((V$4+'TCO TO BE - HW'!V$4)/($E$4+'TCO TO BE - HW'!$E$4)*SUM(EXTERNE_POZICIE!$M$53:$M$64)*1.23)/EXTERNE_POZICIE!$B$41*12,IF((EXTERNE_POZICIE!$B$53-12*('TCO TO BE- SW'!$D155-1))&lt;0,0,(EXTERNE_POZICIE!$B$53-12*('TCO TO BE- SW'!$D155-1))*((V$4+'TCO TO BE - HW'!V$4)/($E$4+'TCO TO BE - HW'!$E$4)*SUM(EXTERNE_POZICIE!$M$53:$M$64)*1.23)/EXTERNE_POZICIE!$B$53)),0)+IFERROR(SUM(#REF!)*'TCO TO BE- SW'!V$4/'TCO TO BE- SW'!$E$4,0)</f>
        <v>0</v>
      </c>
      <c r="W165" s="565">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HW'!$E$4)*SUM(POZICIE_INTERNE!$I$52:$I$63))/POZICIE_INTERNE!$B$52)),0)+IFERROR(IF((EXTERNE_POZICIE!$B$53-12*('TCO TO BE- SW'!$D155-1))&gt;12,((W$4+'TCO TO BE - HW'!W$4)/($E$4+'TCO TO BE - HW'!$E$4)*SUM(EXTERNE_POZICIE!$M$53:$M$64)*1.23)/EXTERNE_POZICIE!$B$41*12,IF((EXTERNE_POZICIE!$B$53-12*('TCO TO BE- SW'!$D155-1))&lt;0,0,(EXTERNE_POZICIE!$B$53-12*('TCO TO BE- SW'!$D155-1))*((W$4+'TCO TO BE - HW'!W$4)/($E$4+'TCO TO BE - HW'!$E$4)*SUM(EXTERNE_POZICIE!$M$53:$M$64)*1.23)/EXTERNE_POZICIE!$B$53)),0)+IFERROR(SUM(#REF!)*'TCO TO BE- SW'!W$4/'TCO TO BE- SW'!$E$4,0)</f>
        <v>0</v>
      </c>
      <c r="X165" s="565">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HW'!$E$4)*SUM(POZICIE_INTERNE!$I$52:$I$63))/POZICIE_INTERNE!$B$52)),0)+IFERROR(IF((EXTERNE_POZICIE!$B$53-12*('TCO TO BE- SW'!$D155-1))&gt;12,((X$4+'TCO TO BE - HW'!X$4)/($E$4+'TCO TO BE - HW'!$E$4)*SUM(EXTERNE_POZICIE!$M$53:$M$64)*1.23)/EXTERNE_POZICIE!$B$41*12,IF((EXTERNE_POZICIE!$B$53-12*('TCO TO BE- SW'!$D155-1))&lt;0,0,(EXTERNE_POZICIE!$B$53-12*('TCO TO BE- SW'!$D155-1))*((X$4+'TCO TO BE - HW'!X$4)/($E$4+'TCO TO BE - HW'!$E$4)*SUM(EXTERNE_POZICIE!$M$53:$M$64)*1.23)/EXTERNE_POZICIE!$B$53)),0)+IFERROR(SUM(#REF!)*'TCO TO BE- SW'!X$4/'TCO TO BE- SW'!$E$4,0)</f>
        <v>0</v>
      </c>
      <c r="Y165" s="565">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HW'!$E$4)*SUM(POZICIE_INTERNE!$I$52:$I$63))/POZICIE_INTERNE!$B$52)),0)+IFERROR(IF((EXTERNE_POZICIE!$B$53-12*('TCO TO BE- SW'!$D155-1))&gt;12,((Y$4+'TCO TO BE - HW'!Y$4)/($E$4+'TCO TO BE - HW'!$E$4)*SUM(EXTERNE_POZICIE!$M$53:$M$64)*1.23)/EXTERNE_POZICIE!$B$41*12,IF((EXTERNE_POZICIE!$B$53-12*('TCO TO BE- SW'!$D155-1))&lt;0,0,(EXTERNE_POZICIE!$B$53-12*('TCO TO BE- SW'!$D155-1))*((Y$4+'TCO TO BE - HW'!Y$4)/($E$4+'TCO TO BE - HW'!$E$4)*SUM(EXTERNE_POZICIE!$M$53:$M$64)*1.23)/EXTERNE_POZICIE!$B$53)),0)+IFERROR(SUM(#REF!)*'TCO TO BE- SW'!Y$4/'TCO TO BE- SW'!$E$4,0)</f>
        <v>0</v>
      </c>
      <c r="Z165" s="565">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HW'!$E$4)*SUM(POZICIE_INTERNE!$I$52:$I$63))/POZICIE_INTERNE!$B$52)),0)+IFERROR(IF((EXTERNE_POZICIE!$B$53-12*('TCO TO BE- SW'!$D155-1))&gt;12,((Z$4+'TCO TO BE - HW'!Z$4)/($E$4+'TCO TO BE - HW'!$E$4)*SUM(EXTERNE_POZICIE!$M$53:$M$64)*1.23)/EXTERNE_POZICIE!$B$41*12,IF((EXTERNE_POZICIE!$B$53-12*('TCO TO BE- SW'!$D155-1))&lt;0,0,(EXTERNE_POZICIE!$B$53-12*('TCO TO BE- SW'!$D155-1))*((Z$4+'TCO TO BE - HW'!Z$4)/($E$4+'TCO TO BE - HW'!$E$4)*SUM(EXTERNE_POZICIE!$M$53:$M$64)*1.23)/EXTERNE_POZICIE!$B$53)),0)+IFERROR(SUM(#REF!)*'TCO TO BE- SW'!Z$4/'TCO TO BE- SW'!$E$4,0)</f>
        <v>0</v>
      </c>
    </row>
    <row r="166" spans="1:26">
      <c r="A166" s="807"/>
      <c r="B166" s="808"/>
      <c r="C166" s="808"/>
      <c r="D166" s="64">
        <v>6</v>
      </c>
      <c r="E166" s="68">
        <f t="shared" si="16"/>
        <v>0</v>
      </c>
      <c r="F166" s="565">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HW'!$E$4)*SUM(POZICIE_INTERNE!$I$52:$I$63))/POZICIE_INTERNE!$B$52)),0)+IFERROR(IF((EXTERNE_POZICIE!$B$53-12*('TCO TO BE- SW'!$D156-1))&gt;12,((F$4+'TCO TO BE - HW'!F$4)/($E$4+'TCO TO BE - HW'!$E$4)*SUM(EXTERNE_POZICIE!$M$53:$M$64)*1.23)/EXTERNE_POZICIE!$B$41*12,IF((EXTERNE_POZICIE!$B$53-12*('TCO TO BE- SW'!$D156-1))&lt;0,0,(EXTERNE_POZICIE!$B$53-12*('TCO TO BE- SW'!$D156-1))*((F$4+'TCO TO BE - HW'!F$4)/($E$4+'TCO TO BE - HW'!$E$4)*SUM(EXTERNE_POZICIE!$M$53:$M$64)*1.23)/EXTERNE_POZICIE!$B$53)),0)+IFERROR(SUM(#REF!)*'TCO TO BE- SW'!F$4/'TCO TO BE- SW'!$E$4,0)</f>
        <v>0</v>
      </c>
      <c r="G166" s="565">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HW'!$E$4)*SUM(POZICIE_INTERNE!$I$52:$I$63))/POZICIE_INTERNE!$B$52)),0)+IFERROR(IF((EXTERNE_POZICIE!$B$53-12*('TCO TO BE- SW'!$D156-1))&gt;12,((G$4+'TCO TO BE - HW'!G$4)/($E$4+'TCO TO BE - HW'!$E$4)*SUM(EXTERNE_POZICIE!$M$53:$M$64)*1.23)/EXTERNE_POZICIE!$B$41*12,IF((EXTERNE_POZICIE!$B$53-12*('TCO TO BE- SW'!$D156-1))&lt;0,0,(EXTERNE_POZICIE!$B$53-12*('TCO TO BE- SW'!$D156-1))*((G$4+'TCO TO BE - HW'!G$4)/($E$4+'TCO TO BE - HW'!$E$4)*SUM(EXTERNE_POZICIE!$M$53:$M$64)*1.23)/EXTERNE_POZICIE!$B$53)),0)+IFERROR(SUM(#REF!)*'TCO TO BE- SW'!G$4/'TCO TO BE- SW'!$E$4,0)</f>
        <v>0</v>
      </c>
      <c r="H166" s="565">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HW'!$E$4)*SUM(POZICIE_INTERNE!$I$52:$I$63))/POZICIE_INTERNE!$B$52)),0)+IFERROR(IF((EXTERNE_POZICIE!$B$53-12*('TCO TO BE- SW'!$D156-1))&gt;12,((H$4+'TCO TO BE - HW'!H$4)/($E$4+'TCO TO BE - HW'!$E$4)*SUM(EXTERNE_POZICIE!$M$53:$M$64)*1.23)/EXTERNE_POZICIE!$B$41*12,IF((EXTERNE_POZICIE!$B$53-12*('TCO TO BE- SW'!$D156-1))&lt;0,0,(EXTERNE_POZICIE!$B$53-12*('TCO TO BE- SW'!$D156-1))*((H$4+'TCO TO BE - HW'!H$4)/($E$4+'TCO TO BE - HW'!$E$4)*SUM(EXTERNE_POZICIE!$M$53:$M$64)*1.23)/EXTERNE_POZICIE!$B$53)),0)+IFERROR(SUM(#REF!)*'TCO TO BE- SW'!H$4/'TCO TO BE- SW'!$E$4,0)</f>
        <v>0</v>
      </c>
      <c r="I166" s="565">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HW'!$E$4)*SUM(POZICIE_INTERNE!$I$52:$I$63))/POZICIE_INTERNE!$B$52)),0)+IFERROR(IF((EXTERNE_POZICIE!$B$53-12*('TCO TO BE- SW'!$D156-1))&gt;12,((I$4+'TCO TO BE - HW'!I$4)/($E$4+'TCO TO BE - HW'!$E$4)*SUM(EXTERNE_POZICIE!$M$53:$M$64)*1.23)/EXTERNE_POZICIE!$B$41*12,IF((EXTERNE_POZICIE!$B$53-12*('TCO TO BE- SW'!$D156-1))&lt;0,0,(EXTERNE_POZICIE!$B$53-12*('TCO TO BE- SW'!$D156-1))*((I$4+'TCO TO BE - HW'!I$4)/($E$4+'TCO TO BE - HW'!$E$4)*SUM(EXTERNE_POZICIE!$M$53:$M$64)*1.23)/EXTERNE_POZICIE!$B$53)),0)+IFERROR(SUM(#REF!)*'TCO TO BE- SW'!I$4/'TCO TO BE- SW'!$E$4,0)</f>
        <v>0</v>
      </c>
      <c r="J166" s="565">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HW'!$E$4)*SUM(POZICIE_INTERNE!$I$52:$I$63))/POZICIE_INTERNE!$B$52)),0)+IFERROR(IF((EXTERNE_POZICIE!$B$53-12*('TCO TO BE- SW'!$D156-1))&gt;12,((J$4+'TCO TO BE - HW'!J$4)/($E$4+'TCO TO BE - HW'!$E$4)*SUM(EXTERNE_POZICIE!$M$53:$M$64)*1.23)/EXTERNE_POZICIE!$B$41*12,IF((EXTERNE_POZICIE!$B$53-12*('TCO TO BE- SW'!$D156-1))&lt;0,0,(EXTERNE_POZICIE!$B$53-12*('TCO TO BE- SW'!$D156-1))*((J$4+'TCO TO BE - HW'!J$4)/($E$4+'TCO TO BE - HW'!$E$4)*SUM(EXTERNE_POZICIE!$M$53:$M$64)*1.23)/EXTERNE_POZICIE!$B$53)),0)+IFERROR(SUM(#REF!)*'TCO TO BE- SW'!J$4/'TCO TO BE- SW'!$E$4,0)</f>
        <v>0</v>
      </c>
      <c r="K166" s="565">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HW'!$E$4)*SUM(POZICIE_INTERNE!$I$52:$I$63))/POZICIE_INTERNE!$B$52)),0)+IFERROR(IF((EXTERNE_POZICIE!$B$53-12*('TCO TO BE- SW'!$D156-1))&gt;12,((K$4+'TCO TO BE - HW'!K$4)/($E$4+'TCO TO BE - HW'!$E$4)*SUM(EXTERNE_POZICIE!$M$53:$M$64)*1.23)/EXTERNE_POZICIE!$B$41*12,IF((EXTERNE_POZICIE!$B$53-12*('TCO TO BE- SW'!$D156-1))&lt;0,0,(EXTERNE_POZICIE!$B$53-12*('TCO TO BE- SW'!$D156-1))*((K$4+'TCO TO BE - HW'!K$4)/($E$4+'TCO TO BE - HW'!$E$4)*SUM(EXTERNE_POZICIE!$M$53:$M$64)*1.23)/EXTERNE_POZICIE!$B$53)),0)+IFERROR(SUM(#REF!)*'TCO TO BE- SW'!K$4/'TCO TO BE- SW'!$E$4,0)</f>
        <v>0</v>
      </c>
      <c r="L166" s="565">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HW'!$E$4)*SUM(POZICIE_INTERNE!$I$52:$I$63))/POZICIE_INTERNE!$B$52)),0)+IFERROR(IF((EXTERNE_POZICIE!$B$53-12*('TCO TO BE- SW'!$D156-1))&gt;12,((L$4+'TCO TO BE - HW'!L$4)/($E$4+'TCO TO BE - HW'!$E$4)*SUM(EXTERNE_POZICIE!$M$53:$M$64)*1.23)/EXTERNE_POZICIE!$B$41*12,IF((EXTERNE_POZICIE!$B$53-12*('TCO TO BE- SW'!$D156-1))&lt;0,0,(EXTERNE_POZICIE!$B$53-12*('TCO TO BE- SW'!$D156-1))*((L$4+'TCO TO BE - HW'!L$4)/($E$4+'TCO TO BE - HW'!$E$4)*SUM(EXTERNE_POZICIE!$M$53:$M$64)*1.23)/EXTERNE_POZICIE!$B$53)),0)+IFERROR(SUM(#REF!)*'TCO TO BE- SW'!L$4/'TCO TO BE- SW'!$E$4,0)</f>
        <v>0</v>
      </c>
      <c r="M166" s="565">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HW'!$E$4)*SUM(POZICIE_INTERNE!$I$52:$I$63))/POZICIE_INTERNE!$B$52)),0)+IFERROR(IF((EXTERNE_POZICIE!$B$53-12*('TCO TO BE- SW'!$D156-1))&gt;12,((M$4+'TCO TO BE - HW'!M$4)/($E$4+'TCO TO BE - HW'!$E$4)*SUM(EXTERNE_POZICIE!$M$53:$M$64)*1.23)/EXTERNE_POZICIE!$B$41*12,IF((EXTERNE_POZICIE!$B$53-12*('TCO TO BE- SW'!$D156-1))&lt;0,0,(EXTERNE_POZICIE!$B$53-12*('TCO TO BE- SW'!$D156-1))*((M$4+'TCO TO BE - HW'!M$4)/($E$4+'TCO TO BE - HW'!$E$4)*SUM(EXTERNE_POZICIE!$M$53:$M$64)*1.23)/EXTERNE_POZICIE!$B$53)),0)+IFERROR(SUM(#REF!)*'TCO TO BE- SW'!M$4/'TCO TO BE- SW'!$E$4,0)</f>
        <v>0</v>
      </c>
      <c r="N166" s="565">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HW'!$E$4)*SUM(POZICIE_INTERNE!$I$52:$I$63))/POZICIE_INTERNE!$B$52)),0)+IFERROR(IF((EXTERNE_POZICIE!$B$53-12*('TCO TO BE- SW'!$D156-1))&gt;12,((N$4+'TCO TO BE - HW'!N$4)/($E$4+'TCO TO BE - HW'!$E$4)*SUM(EXTERNE_POZICIE!$M$53:$M$64)*1.23)/EXTERNE_POZICIE!$B$41*12,IF((EXTERNE_POZICIE!$B$53-12*('TCO TO BE- SW'!$D156-1))&lt;0,0,(EXTERNE_POZICIE!$B$53-12*('TCO TO BE- SW'!$D156-1))*((N$4+'TCO TO BE - HW'!N$4)/($E$4+'TCO TO BE - HW'!$E$4)*SUM(EXTERNE_POZICIE!$M$53:$M$64)*1.23)/EXTERNE_POZICIE!$B$53)),0)+IFERROR(SUM(#REF!)*'TCO TO BE- SW'!N$4/'TCO TO BE- SW'!$E$4,0)</f>
        <v>0</v>
      </c>
      <c r="O166" s="565">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HW'!$E$4)*SUM(POZICIE_INTERNE!$I$52:$I$63))/POZICIE_INTERNE!$B$52)),0)+IFERROR(IF((EXTERNE_POZICIE!$B$53-12*('TCO TO BE- SW'!$D156-1))&gt;12,((O$4+'TCO TO BE - HW'!O$4)/($E$4+'TCO TO BE - HW'!$E$4)*SUM(EXTERNE_POZICIE!$M$53:$M$64)*1.23)/EXTERNE_POZICIE!$B$41*12,IF((EXTERNE_POZICIE!$B$53-12*('TCO TO BE- SW'!$D156-1))&lt;0,0,(EXTERNE_POZICIE!$B$53-12*('TCO TO BE- SW'!$D156-1))*((O$4+'TCO TO BE - HW'!O$4)/($E$4+'TCO TO BE - HW'!$E$4)*SUM(EXTERNE_POZICIE!$M$53:$M$64)*1.23)/EXTERNE_POZICIE!$B$53)),0)+IFERROR(SUM(#REF!)*'TCO TO BE- SW'!O$4/'TCO TO BE- SW'!$E$4,0)</f>
        <v>0</v>
      </c>
      <c r="P166" s="565">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HW'!$E$4)*SUM(POZICIE_INTERNE!$I$52:$I$63))/POZICIE_INTERNE!$B$52)),0)+IFERROR(IF((EXTERNE_POZICIE!$B$53-12*('TCO TO BE- SW'!$D156-1))&gt;12,((P$4+'TCO TO BE - HW'!P$4)/($E$4+'TCO TO BE - HW'!$E$4)*SUM(EXTERNE_POZICIE!$M$53:$M$64)*1.23)/EXTERNE_POZICIE!$B$41*12,IF((EXTERNE_POZICIE!$B$53-12*('TCO TO BE- SW'!$D156-1))&lt;0,0,(EXTERNE_POZICIE!$B$53-12*('TCO TO BE- SW'!$D156-1))*((P$4+'TCO TO BE - HW'!P$4)/($E$4+'TCO TO BE - HW'!$E$4)*SUM(EXTERNE_POZICIE!$M$53:$M$64)*1.23)/EXTERNE_POZICIE!$B$53)),0)+IFERROR(SUM(#REF!)*'TCO TO BE- SW'!P$4/'TCO TO BE- SW'!$E$4,0)</f>
        <v>0</v>
      </c>
      <c r="Q166" s="565">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HW'!$E$4)*SUM(POZICIE_INTERNE!$I$52:$I$63))/POZICIE_INTERNE!$B$52)),0)+IFERROR(IF((EXTERNE_POZICIE!$B$53-12*('TCO TO BE- SW'!$D156-1))&gt;12,((Q$4+'TCO TO BE - HW'!Q$4)/($E$4+'TCO TO BE - HW'!$E$4)*SUM(EXTERNE_POZICIE!$M$53:$M$64)*1.23)/EXTERNE_POZICIE!$B$41*12,IF((EXTERNE_POZICIE!$B$53-12*('TCO TO BE- SW'!$D156-1))&lt;0,0,(EXTERNE_POZICIE!$B$53-12*('TCO TO BE- SW'!$D156-1))*((Q$4+'TCO TO BE - HW'!Q$4)/($E$4+'TCO TO BE - HW'!$E$4)*SUM(EXTERNE_POZICIE!$M$53:$M$64)*1.23)/EXTERNE_POZICIE!$B$53)),0)+IFERROR(SUM(#REF!)*'TCO TO BE- SW'!Q$4/'TCO TO BE- SW'!$E$4,0)</f>
        <v>0</v>
      </c>
      <c r="R166" s="565">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HW'!$E$4)*SUM(POZICIE_INTERNE!$I$52:$I$63))/POZICIE_INTERNE!$B$52)),0)+IFERROR(IF((EXTERNE_POZICIE!$B$53-12*('TCO TO BE- SW'!$D156-1))&gt;12,((R$4+'TCO TO BE - HW'!R$4)/($E$4+'TCO TO BE - HW'!$E$4)*SUM(EXTERNE_POZICIE!$M$53:$M$64)*1.23)/EXTERNE_POZICIE!$B$41*12,IF((EXTERNE_POZICIE!$B$53-12*('TCO TO BE- SW'!$D156-1))&lt;0,0,(EXTERNE_POZICIE!$B$53-12*('TCO TO BE- SW'!$D156-1))*((R$4+'TCO TO BE - HW'!R$4)/($E$4+'TCO TO BE - HW'!$E$4)*SUM(EXTERNE_POZICIE!$M$53:$M$64)*1.23)/EXTERNE_POZICIE!$B$53)),0)+IFERROR(SUM(#REF!)*'TCO TO BE- SW'!R$4/'TCO TO BE- SW'!$E$4,0)</f>
        <v>0</v>
      </c>
      <c r="S166" s="565">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HW'!$E$4)*SUM(POZICIE_INTERNE!$I$52:$I$63))/POZICIE_INTERNE!$B$52)),0)+IFERROR(IF((EXTERNE_POZICIE!$B$53-12*('TCO TO BE- SW'!$D156-1))&gt;12,((S$4+'TCO TO BE - HW'!S$4)/($E$4+'TCO TO BE - HW'!$E$4)*SUM(EXTERNE_POZICIE!$M$53:$M$64)*1.23)/EXTERNE_POZICIE!$B$41*12,IF((EXTERNE_POZICIE!$B$53-12*('TCO TO BE- SW'!$D156-1))&lt;0,0,(EXTERNE_POZICIE!$B$53-12*('TCO TO BE- SW'!$D156-1))*((S$4+'TCO TO BE - HW'!S$4)/($E$4+'TCO TO BE - HW'!$E$4)*SUM(EXTERNE_POZICIE!$M$53:$M$64)*1.23)/EXTERNE_POZICIE!$B$53)),0)+IFERROR(SUM(#REF!)*'TCO TO BE- SW'!S$4/'TCO TO BE- SW'!$E$4,0)</f>
        <v>0</v>
      </c>
      <c r="T166" s="565">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HW'!$E$4)*SUM(POZICIE_INTERNE!$I$52:$I$63))/POZICIE_INTERNE!$B$52)),0)+IFERROR(IF((EXTERNE_POZICIE!$B$53-12*('TCO TO BE- SW'!$D156-1))&gt;12,((T$4+'TCO TO BE - HW'!T$4)/($E$4+'TCO TO BE - HW'!$E$4)*SUM(EXTERNE_POZICIE!$M$53:$M$64)*1.23)/EXTERNE_POZICIE!$B$41*12,IF((EXTERNE_POZICIE!$B$53-12*('TCO TO BE- SW'!$D156-1))&lt;0,0,(EXTERNE_POZICIE!$B$53-12*('TCO TO BE- SW'!$D156-1))*((T$4+'TCO TO BE - HW'!T$4)/($E$4+'TCO TO BE - HW'!$E$4)*SUM(EXTERNE_POZICIE!$M$53:$M$64)*1.23)/EXTERNE_POZICIE!$B$53)),0)+IFERROR(SUM(#REF!)*'TCO TO BE- SW'!T$4/'TCO TO BE- SW'!$E$4,0)</f>
        <v>0</v>
      </c>
      <c r="U166" s="565">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HW'!$E$4)*SUM(POZICIE_INTERNE!$I$52:$I$63))/POZICIE_INTERNE!$B$52)),0)+IFERROR(IF((EXTERNE_POZICIE!$B$53-12*('TCO TO BE- SW'!$D156-1))&gt;12,((U$4+'TCO TO BE - HW'!U$4)/($E$4+'TCO TO BE - HW'!$E$4)*SUM(EXTERNE_POZICIE!$M$53:$M$64)*1.23)/EXTERNE_POZICIE!$B$41*12,IF((EXTERNE_POZICIE!$B$53-12*('TCO TO BE- SW'!$D156-1))&lt;0,0,(EXTERNE_POZICIE!$B$53-12*('TCO TO BE- SW'!$D156-1))*((U$4+'TCO TO BE - HW'!U$4)/($E$4+'TCO TO BE - HW'!$E$4)*SUM(EXTERNE_POZICIE!$M$53:$M$64)*1.23)/EXTERNE_POZICIE!$B$53)),0)+IFERROR(SUM(#REF!)*'TCO TO BE- SW'!U$4/'TCO TO BE- SW'!$E$4,0)</f>
        <v>0</v>
      </c>
      <c r="V166" s="565">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HW'!$E$4)*SUM(POZICIE_INTERNE!$I$52:$I$63))/POZICIE_INTERNE!$B$52)),0)+IFERROR(IF((EXTERNE_POZICIE!$B$53-12*('TCO TO BE- SW'!$D156-1))&gt;12,((V$4+'TCO TO BE - HW'!V$4)/($E$4+'TCO TO BE - HW'!$E$4)*SUM(EXTERNE_POZICIE!$M$53:$M$64)*1.23)/EXTERNE_POZICIE!$B$41*12,IF((EXTERNE_POZICIE!$B$53-12*('TCO TO BE- SW'!$D156-1))&lt;0,0,(EXTERNE_POZICIE!$B$53-12*('TCO TO BE- SW'!$D156-1))*((V$4+'TCO TO BE - HW'!V$4)/($E$4+'TCO TO BE - HW'!$E$4)*SUM(EXTERNE_POZICIE!$M$53:$M$64)*1.23)/EXTERNE_POZICIE!$B$53)),0)+IFERROR(SUM(#REF!)*'TCO TO BE- SW'!V$4/'TCO TO BE- SW'!$E$4,0)</f>
        <v>0</v>
      </c>
      <c r="W166" s="565">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HW'!$E$4)*SUM(POZICIE_INTERNE!$I$52:$I$63))/POZICIE_INTERNE!$B$52)),0)+IFERROR(IF((EXTERNE_POZICIE!$B$53-12*('TCO TO BE- SW'!$D156-1))&gt;12,((W$4+'TCO TO BE - HW'!W$4)/($E$4+'TCO TO BE - HW'!$E$4)*SUM(EXTERNE_POZICIE!$M$53:$M$64)*1.23)/EXTERNE_POZICIE!$B$41*12,IF((EXTERNE_POZICIE!$B$53-12*('TCO TO BE- SW'!$D156-1))&lt;0,0,(EXTERNE_POZICIE!$B$53-12*('TCO TO BE- SW'!$D156-1))*((W$4+'TCO TO BE - HW'!W$4)/($E$4+'TCO TO BE - HW'!$E$4)*SUM(EXTERNE_POZICIE!$M$53:$M$64)*1.23)/EXTERNE_POZICIE!$B$53)),0)+IFERROR(SUM(#REF!)*'TCO TO BE- SW'!W$4/'TCO TO BE- SW'!$E$4,0)</f>
        <v>0</v>
      </c>
      <c r="X166" s="565">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HW'!$E$4)*SUM(POZICIE_INTERNE!$I$52:$I$63))/POZICIE_INTERNE!$B$52)),0)+IFERROR(IF((EXTERNE_POZICIE!$B$53-12*('TCO TO BE- SW'!$D156-1))&gt;12,((X$4+'TCO TO BE - HW'!X$4)/($E$4+'TCO TO BE - HW'!$E$4)*SUM(EXTERNE_POZICIE!$M$53:$M$64)*1.23)/EXTERNE_POZICIE!$B$41*12,IF((EXTERNE_POZICIE!$B$53-12*('TCO TO BE- SW'!$D156-1))&lt;0,0,(EXTERNE_POZICIE!$B$53-12*('TCO TO BE- SW'!$D156-1))*((X$4+'TCO TO BE - HW'!X$4)/($E$4+'TCO TO BE - HW'!$E$4)*SUM(EXTERNE_POZICIE!$M$53:$M$64)*1.23)/EXTERNE_POZICIE!$B$53)),0)+IFERROR(SUM(#REF!)*'TCO TO BE- SW'!X$4/'TCO TO BE- SW'!$E$4,0)</f>
        <v>0</v>
      </c>
      <c r="Y166" s="565">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HW'!$E$4)*SUM(POZICIE_INTERNE!$I$52:$I$63))/POZICIE_INTERNE!$B$52)),0)+IFERROR(IF((EXTERNE_POZICIE!$B$53-12*('TCO TO BE- SW'!$D156-1))&gt;12,((Y$4+'TCO TO BE - HW'!Y$4)/($E$4+'TCO TO BE - HW'!$E$4)*SUM(EXTERNE_POZICIE!$M$53:$M$64)*1.23)/EXTERNE_POZICIE!$B$41*12,IF((EXTERNE_POZICIE!$B$53-12*('TCO TO BE- SW'!$D156-1))&lt;0,0,(EXTERNE_POZICIE!$B$53-12*('TCO TO BE- SW'!$D156-1))*((Y$4+'TCO TO BE - HW'!Y$4)/($E$4+'TCO TO BE - HW'!$E$4)*SUM(EXTERNE_POZICIE!$M$53:$M$64)*1.23)/EXTERNE_POZICIE!$B$53)),0)+IFERROR(SUM(#REF!)*'TCO TO BE- SW'!Y$4/'TCO TO BE- SW'!$E$4,0)</f>
        <v>0</v>
      </c>
      <c r="Z166" s="565">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HW'!$E$4)*SUM(POZICIE_INTERNE!$I$52:$I$63))/POZICIE_INTERNE!$B$52)),0)+IFERROR(IF((EXTERNE_POZICIE!$B$53-12*('TCO TO BE- SW'!$D156-1))&gt;12,((Z$4+'TCO TO BE - HW'!Z$4)/($E$4+'TCO TO BE - HW'!$E$4)*SUM(EXTERNE_POZICIE!$M$53:$M$64)*1.23)/EXTERNE_POZICIE!$B$41*12,IF((EXTERNE_POZICIE!$B$53-12*('TCO TO BE- SW'!$D156-1))&lt;0,0,(EXTERNE_POZICIE!$B$53-12*('TCO TO BE- SW'!$D156-1))*((Z$4+'TCO TO BE - HW'!Z$4)/($E$4+'TCO TO BE - HW'!$E$4)*SUM(EXTERNE_POZICIE!$M$53:$M$64)*1.23)/EXTERNE_POZICIE!$B$53)),0)+IFERROR(SUM(#REF!)*'TCO TO BE- SW'!Z$4/'TCO TO BE- SW'!$E$4,0)</f>
        <v>0</v>
      </c>
    </row>
    <row r="167" spans="1:26">
      <c r="A167" s="807"/>
      <c r="B167" s="808"/>
      <c r="C167" s="808"/>
      <c r="D167" s="64">
        <v>7</v>
      </c>
      <c r="E167" s="68">
        <f t="shared" si="16"/>
        <v>0</v>
      </c>
      <c r="F167" s="565">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HW'!$E$4)*SUM(POZICIE_INTERNE!$I$52:$I$63))/POZICIE_INTERNE!$B$52)),0)+IFERROR(IF((EXTERNE_POZICIE!$B$53-12*('TCO TO BE- SW'!$D157-1))&gt;12,((F$4+'TCO TO BE - HW'!F$4)/($E$4+'TCO TO BE - HW'!$E$4)*SUM(EXTERNE_POZICIE!$M$53:$M$64)*1.23)/EXTERNE_POZICIE!$B$41*12,IF((EXTERNE_POZICIE!$B$53-12*('TCO TO BE- SW'!$D157-1))&lt;0,0,(EXTERNE_POZICIE!$B$53-12*('TCO TO BE- SW'!$D157-1))*((F$4+'TCO TO BE - HW'!F$4)/($E$4+'TCO TO BE - HW'!$E$4)*SUM(EXTERNE_POZICIE!$M$53:$M$64)*1.23)/EXTERNE_POZICIE!$B$53)),0)+IFERROR(SUM(#REF!)*'TCO TO BE- SW'!F$4/'TCO TO BE- SW'!$E$4,0)</f>
        <v>0</v>
      </c>
      <c r="G167" s="565">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HW'!$E$4)*SUM(POZICIE_INTERNE!$I$52:$I$63))/POZICIE_INTERNE!$B$52)),0)+IFERROR(IF((EXTERNE_POZICIE!$B$53-12*('TCO TO BE- SW'!$D157-1))&gt;12,((G$4+'TCO TO BE - HW'!G$4)/($E$4+'TCO TO BE - HW'!$E$4)*SUM(EXTERNE_POZICIE!$M$53:$M$64)*1.23)/EXTERNE_POZICIE!$B$41*12,IF((EXTERNE_POZICIE!$B$53-12*('TCO TO BE- SW'!$D157-1))&lt;0,0,(EXTERNE_POZICIE!$B$53-12*('TCO TO BE- SW'!$D157-1))*((G$4+'TCO TO BE - HW'!G$4)/($E$4+'TCO TO BE - HW'!$E$4)*SUM(EXTERNE_POZICIE!$M$53:$M$64)*1.23)/EXTERNE_POZICIE!$B$53)),0)+IFERROR(SUM(#REF!)*'TCO TO BE- SW'!G$4/'TCO TO BE- SW'!$E$4,0)</f>
        <v>0</v>
      </c>
      <c r="H167" s="565">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HW'!$E$4)*SUM(POZICIE_INTERNE!$I$52:$I$63))/POZICIE_INTERNE!$B$52)),0)+IFERROR(IF((EXTERNE_POZICIE!$B$53-12*('TCO TO BE- SW'!$D157-1))&gt;12,((H$4+'TCO TO BE - HW'!H$4)/($E$4+'TCO TO BE - HW'!$E$4)*SUM(EXTERNE_POZICIE!$M$53:$M$64)*1.23)/EXTERNE_POZICIE!$B$41*12,IF((EXTERNE_POZICIE!$B$53-12*('TCO TO BE- SW'!$D157-1))&lt;0,0,(EXTERNE_POZICIE!$B$53-12*('TCO TO BE- SW'!$D157-1))*((H$4+'TCO TO BE - HW'!H$4)/($E$4+'TCO TO BE - HW'!$E$4)*SUM(EXTERNE_POZICIE!$M$53:$M$64)*1.23)/EXTERNE_POZICIE!$B$53)),0)+IFERROR(SUM(#REF!)*'TCO TO BE- SW'!H$4/'TCO TO BE- SW'!$E$4,0)</f>
        <v>0</v>
      </c>
      <c r="I167" s="565">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HW'!$E$4)*SUM(POZICIE_INTERNE!$I$52:$I$63))/POZICIE_INTERNE!$B$52)),0)+IFERROR(IF((EXTERNE_POZICIE!$B$53-12*('TCO TO BE- SW'!$D157-1))&gt;12,((I$4+'TCO TO BE - HW'!I$4)/($E$4+'TCO TO BE - HW'!$E$4)*SUM(EXTERNE_POZICIE!$M$53:$M$64)*1.23)/EXTERNE_POZICIE!$B$41*12,IF((EXTERNE_POZICIE!$B$53-12*('TCO TO BE- SW'!$D157-1))&lt;0,0,(EXTERNE_POZICIE!$B$53-12*('TCO TO BE- SW'!$D157-1))*((I$4+'TCO TO BE - HW'!I$4)/($E$4+'TCO TO BE - HW'!$E$4)*SUM(EXTERNE_POZICIE!$M$53:$M$64)*1.23)/EXTERNE_POZICIE!$B$53)),0)+IFERROR(SUM(#REF!)*'TCO TO BE- SW'!I$4/'TCO TO BE- SW'!$E$4,0)</f>
        <v>0</v>
      </c>
      <c r="J167" s="565">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HW'!$E$4)*SUM(POZICIE_INTERNE!$I$52:$I$63))/POZICIE_INTERNE!$B$52)),0)+IFERROR(IF((EXTERNE_POZICIE!$B$53-12*('TCO TO BE- SW'!$D157-1))&gt;12,((J$4+'TCO TO BE - HW'!J$4)/($E$4+'TCO TO BE - HW'!$E$4)*SUM(EXTERNE_POZICIE!$M$53:$M$64)*1.23)/EXTERNE_POZICIE!$B$41*12,IF((EXTERNE_POZICIE!$B$53-12*('TCO TO BE- SW'!$D157-1))&lt;0,0,(EXTERNE_POZICIE!$B$53-12*('TCO TO BE- SW'!$D157-1))*((J$4+'TCO TO BE - HW'!J$4)/($E$4+'TCO TO BE - HW'!$E$4)*SUM(EXTERNE_POZICIE!$M$53:$M$64)*1.23)/EXTERNE_POZICIE!$B$53)),0)+IFERROR(SUM(#REF!)*'TCO TO BE- SW'!J$4/'TCO TO BE- SW'!$E$4,0)</f>
        <v>0</v>
      </c>
      <c r="K167" s="565">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HW'!$E$4)*SUM(POZICIE_INTERNE!$I$52:$I$63))/POZICIE_INTERNE!$B$52)),0)+IFERROR(IF((EXTERNE_POZICIE!$B$53-12*('TCO TO BE- SW'!$D157-1))&gt;12,((K$4+'TCO TO BE - HW'!K$4)/($E$4+'TCO TO BE - HW'!$E$4)*SUM(EXTERNE_POZICIE!$M$53:$M$64)*1.23)/EXTERNE_POZICIE!$B$41*12,IF((EXTERNE_POZICIE!$B$53-12*('TCO TO BE- SW'!$D157-1))&lt;0,0,(EXTERNE_POZICIE!$B$53-12*('TCO TO BE- SW'!$D157-1))*((K$4+'TCO TO BE - HW'!K$4)/($E$4+'TCO TO BE - HW'!$E$4)*SUM(EXTERNE_POZICIE!$M$53:$M$64)*1.23)/EXTERNE_POZICIE!$B$53)),0)+IFERROR(SUM(#REF!)*'TCO TO BE- SW'!K$4/'TCO TO BE- SW'!$E$4,0)</f>
        <v>0</v>
      </c>
      <c r="L167" s="565">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HW'!$E$4)*SUM(POZICIE_INTERNE!$I$52:$I$63))/POZICIE_INTERNE!$B$52)),0)+IFERROR(IF((EXTERNE_POZICIE!$B$53-12*('TCO TO BE- SW'!$D157-1))&gt;12,((L$4+'TCO TO BE - HW'!L$4)/($E$4+'TCO TO BE - HW'!$E$4)*SUM(EXTERNE_POZICIE!$M$53:$M$64)*1.23)/EXTERNE_POZICIE!$B$41*12,IF((EXTERNE_POZICIE!$B$53-12*('TCO TO BE- SW'!$D157-1))&lt;0,0,(EXTERNE_POZICIE!$B$53-12*('TCO TO BE- SW'!$D157-1))*((L$4+'TCO TO BE - HW'!L$4)/($E$4+'TCO TO BE - HW'!$E$4)*SUM(EXTERNE_POZICIE!$M$53:$M$64)*1.23)/EXTERNE_POZICIE!$B$53)),0)+IFERROR(SUM(#REF!)*'TCO TO BE- SW'!L$4/'TCO TO BE- SW'!$E$4,0)</f>
        <v>0</v>
      </c>
      <c r="M167" s="565">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HW'!$E$4)*SUM(POZICIE_INTERNE!$I$52:$I$63))/POZICIE_INTERNE!$B$52)),0)+IFERROR(IF((EXTERNE_POZICIE!$B$53-12*('TCO TO BE- SW'!$D157-1))&gt;12,((M$4+'TCO TO BE - HW'!M$4)/($E$4+'TCO TO BE - HW'!$E$4)*SUM(EXTERNE_POZICIE!$M$53:$M$64)*1.23)/EXTERNE_POZICIE!$B$41*12,IF((EXTERNE_POZICIE!$B$53-12*('TCO TO BE- SW'!$D157-1))&lt;0,0,(EXTERNE_POZICIE!$B$53-12*('TCO TO BE- SW'!$D157-1))*((M$4+'TCO TO BE - HW'!M$4)/($E$4+'TCO TO BE - HW'!$E$4)*SUM(EXTERNE_POZICIE!$M$53:$M$64)*1.23)/EXTERNE_POZICIE!$B$53)),0)+IFERROR(SUM(#REF!)*'TCO TO BE- SW'!M$4/'TCO TO BE- SW'!$E$4,0)</f>
        <v>0</v>
      </c>
      <c r="N167" s="565">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HW'!$E$4)*SUM(POZICIE_INTERNE!$I$52:$I$63))/POZICIE_INTERNE!$B$52)),0)+IFERROR(IF((EXTERNE_POZICIE!$B$53-12*('TCO TO BE- SW'!$D157-1))&gt;12,((N$4+'TCO TO BE - HW'!N$4)/($E$4+'TCO TO BE - HW'!$E$4)*SUM(EXTERNE_POZICIE!$M$53:$M$64)*1.23)/EXTERNE_POZICIE!$B$41*12,IF((EXTERNE_POZICIE!$B$53-12*('TCO TO BE- SW'!$D157-1))&lt;0,0,(EXTERNE_POZICIE!$B$53-12*('TCO TO BE- SW'!$D157-1))*((N$4+'TCO TO BE - HW'!N$4)/($E$4+'TCO TO BE - HW'!$E$4)*SUM(EXTERNE_POZICIE!$M$53:$M$64)*1.23)/EXTERNE_POZICIE!$B$53)),0)+IFERROR(SUM(#REF!)*'TCO TO BE- SW'!N$4/'TCO TO BE- SW'!$E$4,0)</f>
        <v>0</v>
      </c>
      <c r="O167" s="565">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HW'!$E$4)*SUM(POZICIE_INTERNE!$I$52:$I$63))/POZICIE_INTERNE!$B$52)),0)+IFERROR(IF((EXTERNE_POZICIE!$B$53-12*('TCO TO BE- SW'!$D157-1))&gt;12,((O$4+'TCO TO BE - HW'!O$4)/($E$4+'TCO TO BE - HW'!$E$4)*SUM(EXTERNE_POZICIE!$M$53:$M$64)*1.23)/EXTERNE_POZICIE!$B$41*12,IF((EXTERNE_POZICIE!$B$53-12*('TCO TO BE- SW'!$D157-1))&lt;0,0,(EXTERNE_POZICIE!$B$53-12*('TCO TO BE- SW'!$D157-1))*((O$4+'TCO TO BE - HW'!O$4)/($E$4+'TCO TO BE - HW'!$E$4)*SUM(EXTERNE_POZICIE!$M$53:$M$64)*1.23)/EXTERNE_POZICIE!$B$53)),0)+IFERROR(SUM(#REF!)*'TCO TO BE- SW'!O$4/'TCO TO BE- SW'!$E$4,0)</f>
        <v>0</v>
      </c>
      <c r="P167" s="565">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HW'!$E$4)*SUM(POZICIE_INTERNE!$I$52:$I$63))/POZICIE_INTERNE!$B$52)),0)+IFERROR(IF((EXTERNE_POZICIE!$B$53-12*('TCO TO BE- SW'!$D157-1))&gt;12,((P$4+'TCO TO BE - HW'!P$4)/($E$4+'TCO TO BE - HW'!$E$4)*SUM(EXTERNE_POZICIE!$M$53:$M$64)*1.23)/EXTERNE_POZICIE!$B$41*12,IF((EXTERNE_POZICIE!$B$53-12*('TCO TO BE- SW'!$D157-1))&lt;0,0,(EXTERNE_POZICIE!$B$53-12*('TCO TO BE- SW'!$D157-1))*((P$4+'TCO TO BE - HW'!P$4)/($E$4+'TCO TO BE - HW'!$E$4)*SUM(EXTERNE_POZICIE!$M$53:$M$64)*1.23)/EXTERNE_POZICIE!$B$53)),0)+IFERROR(SUM(#REF!)*'TCO TO BE- SW'!P$4/'TCO TO BE- SW'!$E$4,0)</f>
        <v>0</v>
      </c>
      <c r="Q167" s="565">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HW'!$E$4)*SUM(POZICIE_INTERNE!$I$52:$I$63))/POZICIE_INTERNE!$B$52)),0)+IFERROR(IF((EXTERNE_POZICIE!$B$53-12*('TCO TO BE- SW'!$D157-1))&gt;12,((Q$4+'TCO TO BE - HW'!Q$4)/($E$4+'TCO TO BE - HW'!$E$4)*SUM(EXTERNE_POZICIE!$M$53:$M$64)*1.23)/EXTERNE_POZICIE!$B$41*12,IF((EXTERNE_POZICIE!$B$53-12*('TCO TO BE- SW'!$D157-1))&lt;0,0,(EXTERNE_POZICIE!$B$53-12*('TCO TO BE- SW'!$D157-1))*((Q$4+'TCO TO BE - HW'!Q$4)/($E$4+'TCO TO BE - HW'!$E$4)*SUM(EXTERNE_POZICIE!$M$53:$M$64)*1.23)/EXTERNE_POZICIE!$B$53)),0)+IFERROR(SUM(#REF!)*'TCO TO BE- SW'!Q$4/'TCO TO BE- SW'!$E$4,0)</f>
        <v>0</v>
      </c>
      <c r="R167" s="565">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HW'!$E$4)*SUM(POZICIE_INTERNE!$I$52:$I$63))/POZICIE_INTERNE!$B$52)),0)+IFERROR(IF((EXTERNE_POZICIE!$B$53-12*('TCO TO BE- SW'!$D157-1))&gt;12,((R$4+'TCO TO BE - HW'!R$4)/($E$4+'TCO TO BE - HW'!$E$4)*SUM(EXTERNE_POZICIE!$M$53:$M$64)*1.23)/EXTERNE_POZICIE!$B$41*12,IF((EXTERNE_POZICIE!$B$53-12*('TCO TO BE- SW'!$D157-1))&lt;0,0,(EXTERNE_POZICIE!$B$53-12*('TCO TO BE- SW'!$D157-1))*((R$4+'TCO TO BE - HW'!R$4)/($E$4+'TCO TO BE - HW'!$E$4)*SUM(EXTERNE_POZICIE!$M$53:$M$64)*1.23)/EXTERNE_POZICIE!$B$53)),0)+IFERROR(SUM(#REF!)*'TCO TO BE- SW'!R$4/'TCO TO BE- SW'!$E$4,0)</f>
        <v>0</v>
      </c>
      <c r="S167" s="565">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HW'!$E$4)*SUM(POZICIE_INTERNE!$I$52:$I$63))/POZICIE_INTERNE!$B$52)),0)+IFERROR(IF((EXTERNE_POZICIE!$B$53-12*('TCO TO BE- SW'!$D157-1))&gt;12,((S$4+'TCO TO BE - HW'!S$4)/($E$4+'TCO TO BE - HW'!$E$4)*SUM(EXTERNE_POZICIE!$M$53:$M$64)*1.23)/EXTERNE_POZICIE!$B$41*12,IF((EXTERNE_POZICIE!$B$53-12*('TCO TO BE- SW'!$D157-1))&lt;0,0,(EXTERNE_POZICIE!$B$53-12*('TCO TO BE- SW'!$D157-1))*((S$4+'TCO TO BE - HW'!S$4)/($E$4+'TCO TO BE - HW'!$E$4)*SUM(EXTERNE_POZICIE!$M$53:$M$64)*1.23)/EXTERNE_POZICIE!$B$53)),0)+IFERROR(SUM(#REF!)*'TCO TO BE- SW'!S$4/'TCO TO BE- SW'!$E$4,0)</f>
        <v>0</v>
      </c>
      <c r="T167" s="565">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HW'!$E$4)*SUM(POZICIE_INTERNE!$I$52:$I$63))/POZICIE_INTERNE!$B$52)),0)+IFERROR(IF((EXTERNE_POZICIE!$B$53-12*('TCO TO BE- SW'!$D157-1))&gt;12,((T$4+'TCO TO BE - HW'!T$4)/($E$4+'TCO TO BE - HW'!$E$4)*SUM(EXTERNE_POZICIE!$M$53:$M$64)*1.23)/EXTERNE_POZICIE!$B$41*12,IF((EXTERNE_POZICIE!$B$53-12*('TCO TO BE- SW'!$D157-1))&lt;0,0,(EXTERNE_POZICIE!$B$53-12*('TCO TO BE- SW'!$D157-1))*((T$4+'TCO TO BE - HW'!T$4)/($E$4+'TCO TO BE - HW'!$E$4)*SUM(EXTERNE_POZICIE!$M$53:$M$64)*1.23)/EXTERNE_POZICIE!$B$53)),0)+IFERROR(SUM(#REF!)*'TCO TO BE- SW'!T$4/'TCO TO BE- SW'!$E$4,0)</f>
        <v>0</v>
      </c>
      <c r="U167" s="565">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HW'!$E$4)*SUM(POZICIE_INTERNE!$I$52:$I$63))/POZICIE_INTERNE!$B$52)),0)+IFERROR(IF((EXTERNE_POZICIE!$B$53-12*('TCO TO BE- SW'!$D157-1))&gt;12,((U$4+'TCO TO BE - HW'!U$4)/($E$4+'TCO TO BE - HW'!$E$4)*SUM(EXTERNE_POZICIE!$M$53:$M$64)*1.23)/EXTERNE_POZICIE!$B$41*12,IF((EXTERNE_POZICIE!$B$53-12*('TCO TO BE- SW'!$D157-1))&lt;0,0,(EXTERNE_POZICIE!$B$53-12*('TCO TO BE- SW'!$D157-1))*((U$4+'TCO TO BE - HW'!U$4)/($E$4+'TCO TO BE - HW'!$E$4)*SUM(EXTERNE_POZICIE!$M$53:$M$64)*1.23)/EXTERNE_POZICIE!$B$53)),0)+IFERROR(SUM(#REF!)*'TCO TO BE- SW'!U$4/'TCO TO BE- SW'!$E$4,0)</f>
        <v>0</v>
      </c>
      <c r="V167" s="565">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HW'!$E$4)*SUM(POZICIE_INTERNE!$I$52:$I$63))/POZICIE_INTERNE!$B$52)),0)+IFERROR(IF((EXTERNE_POZICIE!$B$53-12*('TCO TO BE- SW'!$D157-1))&gt;12,((V$4+'TCO TO BE - HW'!V$4)/($E$4+'TCO TO BE - HW'!$E$4)*SUM(EXTERNE_POZICIE!$M$53:$M$64)*1.23)/EXTERNE_POZICIE!$B$41*12,IF((EXTERNE_POZICIE!$B$53-12*('TCO TO BE- SW'!$D157-1))&lt;0,0,(EXTERNE_POZICIE!$B$53-12*('TCO TO BE- SW'!$D157-1))*((V$4+'TCO TO BE - HW'!V$4)/($E$4+'TCO TO BE - HW'!$E$4)*SUM(EXTERNE_POZICIE!$M$53:$M$64)*1.23)/EXTERNE_POZICIE!$B$53)),0)+IFERROR(SUM(#REF!)*'TCO TO BE- SW'!V$4/'TCO TO BE- SW'!$E$4,0)</f>
        <v>0</v>
      </c>
      <c r="W167" s="565">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HW'!$E$4)*SUM(POZICIE_INTERNE!$I$52:$I$63))/POZICIE_INTERNE!$B$52)),0)+IFERROR(IF((EXTERNE_POZICIE!$B$53-12*('TCO TO BE- SW'!$D157-1))&gt;12,((W$4+'TCO TO BE - HW'!W$4)/($E$4+'TCO TO BE - HW'!$E$4)*SUM(EXTERNE_POZICIE!$M$53:$M$64)*1.23)/EXTERNE_POZICIE!$B$41*12,IF((EXTERNE_POZICIE!$B$53-12*('TCO TO BE- SW'!$D157-1))&lt;0,0,(EXTERNE_POZICIE!$B$53-12*('TCO TO BE- SW'!$D157-1))*((W$4+'TCO TO BE - HW'!W$4)/($E$4+'TCO TO BE - HW'!$E$4)*SUM(EXTERNE_POZICIE!$M$53:$M$64)*1.23)/EXTERNE_POZICIE!$B$53)),0)+IFERROR(SUM(#REF!)*'TCO TO BE- SW'!W$4/'TCO TO BE- SW'!$E$4,0)</f>
        <v>0</v>
      </c>
      <c r="X167" s="565">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HW'!$E$4)*SUM(POZICIE_INTERNE!$I$52:$I$63))/POZICIE_INTERNE!$B$52)),0)+IFERROR(IF((EXTERNE_POZICIE!$B$53-12*('TCO TO BE- SW'!$D157-1))&gt;12,((X$4+'TCO TO BE - HW'!X$4)/($E$4+'TCO TO BE - HW'!$E$4)*SUM(EXTERNE_POZICIE!$M$53:$M$64)*1.23)/EXTERNE_POZICIE!$B$41*12,IF((EXTERNE_POZICIE!$B$53-12*('TCO TO BE- SW'!$D157-1))&lt;0,0,(EXTERNE_POZICIE!$B$53-12*('TCO TO BE- SW'!$D157-1))*((X$4+'TCO TO BE - HW'!X$4)/($E$4+'TCO TO BE - HW'!$E$4)*SUM(EXTERNE_POZICIE!$M$53:$M$64)*1.23)/EXTERNE_POZICIE!$B$53)),0)+IFERROR(SUM(#REF!)*'TCO TO BE- SW'!X$4/'TCO TO BE- SW'!$E$4,0)</f>
        <v>0</v>
      </c>
      <c r="Y167" s="565">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HW'!$E$4)*SUM(POZICIE_INTERNE!$I$52:$I$63))/POZICIE_INTERNE!$B$52)),0)+IFERROR(IF((EXTERNE_POZICIE!$B$53-12*('TCO TO BE- SW'!$D157-1))&gt;12,((Y$4+'TCO TO BE - HW'!Y$4)/($E$4+'TCO TO BE - HW'!$E$4)*SUM(EXTERNE_POZICIE!$M$53:$M$64)*1.23)/EXTERNE_POZICIE!$B$41*12,IF((EXTERNE_POZICIE!$B$53-12*('TCO TO BE- SW'!$D157-1))&lt;0,0,(EXTERNE_POZICIE!$B$53-12*('TCO TO BE- SW'!$D157-1))*((Y$4+'TCO TO BE - HW'!Y$4)/($E$4+'TCO TO BE - HW'!$E$4)*SUM(EXTERNE_POZICIE!$M$53:$M$64)*1.23)/EXTERNE_POZICIE!$B$53)),0)+IFERROR(SUM(#REF!)*'TCO TO BE- SW'!Y$4/'TCO TO BE- SW'!$E$4,0)</f>
        <v>0</v>
      </c>
      <c r="Z167" s="565">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HW'!$E$4)*SUM(POZICIE_INTERNE!$I$52:$I$63))/POZICIE_INTERNE!$B$52)),0)+IFERROR(IF((EXTERNE_POZICIE!$B$53-12*('TCO TO BE- SW'!$D157-1))&gt;12,((Z$4+'TCO TO BE - HW'!Z$4)/($E$4+'TCO TO BE - HW'!$E$4)*SUM(EXTERNE_POZICIE!$M$53:$M$64)*1.23)/EXTERNE_POZICIE!$B$41*12,IF((EXTERNE_POZICIE!$B$53-12*('TCO TO BE- SW'!$D157-1))&lt;0,0,(EXTERNE_POZICIE!$B$53-12*('TCO TO BE- SW'!$D157-1))*((Z$4+'TCO TO BE - HW'!Z$4)/($E$4+'TCO TO BE - HW'!$E$4)*SUM(EXTERNE_POZICIE!$M$53:$M$64)*1.23)/EXTERNE_POZICIE!$B$53)),0)+IFERROR(SUM(#REF!)*'TCO TO BE- SW'!Z$4/'TCO TO BE- SW'!$E$4,0)</f>
        <v>0</v>
      </c>
    </row>
    <row r="168" spans="1:26">
      <c r="A168" s="807"/>
      <c r="B168" s="808"/>
      <c r="C168" s="808"/>
      <c r="D168" s="64">
        <v>8</v>
      </c>
      <c r="E168" s="68">
        <f t="shared" si="16"/>
        <v>0</v>
      </c>
      <c r="F168" s="565">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HW'!$E$4)*SUM(POZICIE_INTERNE!$I$52:$I$63))/POZICIE_INTERNE!$B$52)),0)+IFERROR(IF((EXTERNE_POZICIE!$B$53-12*('TCO TO BE- SW'!$D158-1))&gt;12,((F$4+'TCO TO BE - HW'!F$4)/($E$4+'TCO TO BE - HW'!$E$4)*SUM(EXTERNE_POZICIE!$M$53:$M$64)*1.23)/EXTERNE_POZICIE!$B$41*12,IF((EXTERNE_POZICIE!$B$53-12*('TCO TO BE- SW'!$D158-1))&lt;0,0,(EXTERNE_POZICIE!$B$53-12*('TCO TO BE- SW'!$D158-1))*((F$4+'TCO TO BE - HW'!F$4)/($E$4+'TCO TO BE - HW'!$E$4)*SUM(EXTERNE_POZICIE!$M$53:$M$64)*1.23)/EXTERNE_POZICIE!$B$53)),0)+IFERROR(SUM(#REF!)*'TCO TO BE- SW'!F$4/'TCO TO BE- SW'!$E$4,0)</f>
        <v>0</v>
      </c>
      <c r="G168" s="565">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HW'!$E$4)*SUM(POZICIE_INTERNE!$I$52:$I$63))/POZICIE_INTERNE!$B$52)),0)+IFERROR(IF((EXTERNE_POZICIE!$B$53-12*('TCO TO BE- SW'!$D158-1))&gt;12,((G$4+'TCO TO BE - HW'!G$4)/($E$4+'TCO TO BE - HW'!$E$4)*SUM(EXTERNE_POZICIE!$M$53:$M$64)*1.23)/EXTERNE_POZICIE!$B$41*12,IF((EXTERNE_POZICIE!$B$53-12*('TCO TO BE- SW'!$D158-1))&lt;0,0,(EXTERNE_POZICIE!$B$53-12*('TCO TO BE- SW'!$D158-1))*((G$4+'TCO TO BE - HW'!G$4)/($E$4+'TCO TO BE - HW'!$E$4)*SUM(EXTERNE_POZICIE!$M$53:$M$64)*1.23)/EXTERNE_POZICIE!$B$53)),0)+IFERROR(SUM(#REF!)*'TCO TO BE- SW'!G$4/'TCO TO BE- SW'!$E$4,0)</f>
        <v>0</v>
      </c>
      <c r="H168" s="565">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HW'!$E$4)*SUM(POZICIE_INTERNE!$I$52:$I$63))/POZICIE_INTERNE!$B$52)),0)+IFERROR(IF((EXTERNE_POZICIE!$B$53-12*('TCO TO BE- SW'!$D158-1))&gt;12,((H$4+'TCO TO BE - HW'!H$4)/($E$4+'TCO TO BE - HW'!$E$4)*SUM(EXTERNE_POZICIE!$M$53:$M$64)*1.23)/EXTERNE_POZICIE!$B$41*12,IF((EXTERNE_POZICIE!$B$53-12*('TCO TO BE- SW'!$D158-1))&lt;0,0,(EXTERNE_POZICIE!$B$53-12*('TCO TO BE- SW'!$D158-1))*((H$4+'TCO TO BE - HW'!H$4)/($E$4+'TCO TO BE - HW'!$E$4)*SUM(EXTERNE_POZICIE!$M$53:$M$64)*1.23)/EXTERNE_POZICIE!$B$53)),0)+IFERROR(SUM(#REF!)*'TCO TO BE- SW'!H$4/'TCO TO BE- SW'!$E$4,0)</f>
        <v>0</v>
      </c>
      <c r="I168" s="565">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HW'!$E$4)*SUM(POZICIE_INTERNE!$I$52:$I$63))/POZICIE_INTERNE!$B$52)),0)+IFERROR(IF((EXTERNE_POZICIE!$B$53-12*('TCO TO BE- SW'!$D158-1))&gt;12,((I$4+'TCO TO BE - HW'!I$4)/($E$4+'TCO TO BE - HW'!$E$4)*SUM(EXTERNE_POZICIE!$M$53:$M$64)*1.23)/EXTERNE_POZICIE!$B$41*12,IF((EXTERNE_POZICIE!$B$53-12*('TCO TO BE- SW'!$D158-1))&lt;0,0,(EXTERNE_POZICIE!$B$53-12*('TCO TO BE- SW'!$D158-1))*((I$4+'TCO TO BE - HW'!I$4)/($E$4+'TCO TO BE - HW'!$E$4)*SUM(EXTERNE_POZICIE!$M$53:$M$64)*1.23)/EXTERNE_POZICIE!$B$53)),0)+IFERROR(SUM(#REF!)*'TCO TO BE- SW'!I$4/'TCO TO BE- SW'!$E$4,0)</f>
        <v>0</v>
      </c>
      <c r="J168" s="565">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HW'!$E$4)*SUM(POZICIE_INTERNE!$I$52:$I$63))/POZICIE_INTERNE!$B$52)),0)+IFERROR(IF((EXTERNE_POZICIE!$B$53-12*('TCO TO BE- SW'!$D158-1))&gt;12,((J$4+'TCO TO BE - HW'!J$4)/($E$4+'TCO TO BE - HW'!$E$4)*SUM(EXTERNE_POZICIE!$M$53:$M$64)*1.23)/EXTERNE_POZICIE!$B$41*12,IF((EXTERNE_POZICIE!$B$53-12*('TCO TO BE- SW'!$D158-1))&lt;0,0,(EXTERNE_POZICIE!$B$53-12*('TCO TO BE- SW'!$D158-1))*((J$4+'TCO TO BE - HW'!J$4)/($E$4+'TCO TO BE - HW'!$E$4)*SUM(EXTERNE_POZICIE!$M$53:$M$64)*1.23)/EXTERNE_POZICIE!$B$53)),0)+IFERROR(SUM(#REF!)*'TCO TO BE- SW'!J$4/'TCO TO BE- SW'!$E$4,0)</f>
        <v>0</v>
      </c>
      <c r="K168" s="565">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HW'!$E$4)*SUM(POZICIE_INTERNE!$I$52:$I$63))/POZICIE_INTERNE!$B$52)),0)+IFERROR(IF((EXTERNE_POZICIE!$B$53-12*('TCO TO BE- SW'!$D158-1))&gt;12,((K$4+'TCO TO BE - HW'!K$4)/($E$4+'TCO TO BE - HW'!$E$4)*SUM(EXTERNE_POZICIE!$M$53:$M$64)*1.23)/EXTERNE_POZICIE!$B$41*12,IF((EXTERNE_POZICIE!$B$53-12*('TCO TO BE- SW'!$D158-1))&lt;0,0,(EXTERNE_POZICIE!$B$53-12*('TCO TO BE- SW'!$D158-1))*((K$4+'TCO TO BE - HW'!K$4)/($E$4+'TCO TO BE - HW'!$E$4)*SUM(EXTERNE_POZICIE!$M$53:$M$64)*1.23)/EXTERNE_POZICIE!$B$53)),0)+IFERROR(SUM(#REF!)*'TCO TO BE- SW'!K$4/'TCO TO BE- SW'!$E$4,0)</f>
        <v>0</v>
      </c>
      <c r="L168" s="565">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HW'!$E$4)*SUM(POZICIE_INTERNE!$I$52:$I$63))/POZICIE_INTERNE!$B$52)),0)+IFERROR(IF((EXTERNE_POZICIE!$B$53-12*('TCO TO BE- SW'!$D158-1))&gt;12,((L$4+'TCO TO BE - HW'!L$4)/($E$4+'TCO TO BE - HW'!$E$4)*SUM(EXTERNE_POZICIE!$M$53:$M$64)*1.23)/EXTERNE_POZICIE!$B$41*12,IF((EXTERNE_POZICIE!$B$53-12*('TCO TO BE- SW'!$D158-1))&lt;0,0,(EXTERNE_POZICIE!$B$53-12*('TCO TO BE- SW'!$D158-1))*((L$4+'TCO TO BE - HW'!L$4)/($E$4+'TCO TO BE - HW'!$E$4)*SUM(EXTERNE_POZICIE!$M$53:$M$64)*1.23)/EXTERNE_POZICIE!$B$53)),0)+IFERROR(SUM(#REF!)*'TCO TO BE- SW'!L$4/'TCO TO BE- SW'!$E$4,0)</f>
        <v>0</v>
      </c>
      <c r="M168" s="565">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HW'!$E$4)*SUM(POZICIE_INTERNE!$I$52:$I$63))/POZICIE_INTERNE!$B$52)),0)+IFERROR(IF((EXTERNE_POZICIE!$B$53-12*('TCO TO BE- SW'!$D158-1))&gt;12,((M$4+'TCO TO BE - HW'!M$4)/($E$4+'TCO TO BE - HW'!$E$4)*SUM(EXTERNE_POZICIE!$M$53:$M$64)*1.23)/EXTERNE_POZICIE!$B$41*12,IF((EXTERNE_POZICIE!$B$53-12*('TCO TO BE- SW'!$D158-1))&lt;0,0,(EXTERNE_POZICIE!$B$53-12*('TCO TO BE- SW'!$D158-1))*((M$4+'TCO TO BE - HW'!M$4)/($E$4+'TCO TO BE - HW'!$E$4)*SUM(EXTERNE_POZICIE!$M$53:$M$64)*1.23)/EXTERNE_POZICIE!$B$53)),0)+IFERROR(SUM(#REF!)*'TCO TO BE- SW'!M$4/'TCO TO BE- SW'!$E$4,0)</f>
        <v>0</v>
      </c>
      <c r="N168" s="565">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HW'!$E$4)*SUM(POZICIE_INTERNE!$I$52:$I$63))/POZICIE_INTERNE!$B$52)),0)+IFERROR(IF((EXTERNE_POZICIE!$B$53-12*('TCO TO BE- SW'!$D158-1))&gt;12,((N$4+'TCO TO BE - HW'!N$4)/($E$4+'TCO TO BE - HW'!$E$4)*SUM(EXTERNE_POZICIE!$M$53:$M$64)*1.23)/EXTERNE_POZICIE!$B$41*12,IF((EXTERNE_POZICIE!$B$53-12*('TCO TO BE- SW'!$D158-1))&lt;0,0,(EXTERNE_POZICIE!$B$53-12*('TCO TO BE- SW'!$D158-1))*((N$4+'TCO TO BE - HW'!N$4)/($E$4+'TCO TO BE - HW'!$E$4)*SUM(EXTERNE_POZICIE!$M$53:$M$64)*1.23)/EXTERNE_POZICIE!$B$53)),0)+IFERROR(SUM(#REF!)*'TCO TO BE- SW'!N$4/'TCO TO BE- SW'!$E$4,0)</f>
        <v>0</v>
      </c>
      <c r="O168" s="565">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HW'!$E$4)*SUM(POZICIE_INTERNE!$I$52:$I$63))/POZICIE_INTERNE!$B$52)),0)+IFERROR(IF((EXTERNE_POZICIE!$B$53-12*('TCO TO BE- SW'!$D158-1))&gt;12,((O$4+'TCO TO BE - HW'!O$4)/($E$4+'TCO TO BE - HW'!$E$4)*SUM(EXTERNE_POZICIE!$M$53:$M$64)*1.23)/EXTERNE_POZICIE!$B$41*12,IF((EXTERNE_POZICIE!$B$53-12*('TCO TO BE- SW'!$D158-1))&lt;0,0,(EXTERNE_POZICIE!$B$53-12*('TCO TO BE- SW'!$D158-1))*((O$4+'TCO TO BE - HW'!O$4)/($E$4+'TCO TO BE - HW'!$E$4)*SUM(EXTERNE_POZICIE!$M$53:$M$64)*1.23)/EXTERNE_POZICIE!$B$53)),0)+IFERROR(SUM(#REF!)*'TCO TO BE- SW'!O$4/'TCO TO BE- SW'!$E$4,0)</f>
        <v>0</v>
      </c>
      <c r="P168" s="565">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HW'!$E$4)*SUM(POZICIE_INTERNE!$I$52:$I$63))/POZICIE_INTERNE!$B$52)),0)+IFERROR(IF((EXTERNE_POZICIE!$B$53-12*('TCO TO BE- SW'!$D158-1))&gt;12,((P$4+'TCO TO BE - HW'!P$4)/($E$4+'TCO TO BE - HW'!$E$4)*SUM(EXTERNE_POZICIE!$M$53:$M$64)*1.23)/EXTERNE_POZICIE!$B$41*12,IF((EXTERNE_POZICIE!$B$53-12*('TCO TO BE- SW'!$D158-1))&lt;0,0,(EXTERNE_POZICIE!$B$53-12*('TCO TO BE- SW'!$D158-1))*((P$4+'TCO TO BE - HW'!P$4)/($E$4+'TCO TO BE - HW'!$E$4)*SUM(EXTERNE_POZICIE!$M$53:$M$64)*1.23)/EXTERNE_POZICIE!$B$53)),0)+IFERROR(SUM(#REF!)*'TCO TO BE- SW'!P$4/'TCO TO BE- SW'!$E$4,0)</f>
        <v>0</v>
      </c>
      <c r="Q168" s="565">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HW'!$E$4)*SUM(POZICIE_INTERNE!$I$52:$I$63))/POZICIE_INTERNE!$B$52)),0)+IFERROR(IF((EXTERNE_POZICIE!$B$53-12*('TCO TO BE- SW'!$D158-1))&gt;12,((Q$4+'TCO TO BE - HW'!Q$4)/($E$4+'TCO TO BE - HW'!$E$4)*SUM(EXTERNE_POZICIE!$M$53:$M$64)*1.23)/EXTERNE_POZICIE!$B$41*12,IF((EXTERNE_POZICIE!$B$53-12*('TCO TO BE- SW'!$D158-1))&lt;0,0,(EXTERNE_POZICIE!$B$53-12*('TCO TO BE- SW'!$D158-1))*((Q$4+'TCO TO BE - HW'!Q$4)/($E$4+'TCO TO BE - HW'!$E$4)*SUM(EXTERNE_POZICIE!$M$53:$M$64)*1.23)/EXTERNE_POZICIE!$B$53)),0)+IFERROR(SUM(#REF!)*'TCO TO BE- SW'!Q$4/'TCO TO BE- SW'!$E$4,0)</f>
        <v>0</v>
      </c>
      <c r="R168" s="565">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HW'!$E$4)*SUM(POZICIE_INTERNE!$I$52:$I$63))/POZICIE_INTERNE!$B$52)),0)+IFERROR(IF((EXTERNE_POZICIE!$B$53-12*('TCO TO BE- SW'!$D158-1))&gt;12,((R$4+'TCO TO BE - HW'!R$4)/($E$4+'TCO TO BE - HW'!$E$4)*SUM(EXTERNE_POZICIE!$M$53:$M$64)*1.23)/EXTERNE_POZICIE!$B$41*12,IF((EXTERNE_POZICIE!$B$53-12*('TCO TO BE- SW'!$D158-1))&lt;0,0,(EXTERNE_POZICIE!$B$53-12*('TCO TO BE- SW'!$D158-1))*((R$4+'TCO TO BE - HW'!R$4)/($E$4+'TCO TO BE - HW'!$E$4)*SUM(EXTERNE_POZICIE!$M$53:$M$64)*1.23)/EXTERNE_POZICIE!$B$53)),0)+IFERROR(SUM(#REF!)*'TCO TO BE- SW'!R$4/'TCO TO BE- SW'!$E$4,0)</f>
        <v>0</v>
      </c>
      <c r="S168" s="565">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HW'!$E$4)*SUM(POZICIE_INTERNE!$I$52:$I$63))/POZICIE_INTERNE!$B$52)),0)+IFERROR(IF((EXTERNE_POZICIE!$B$53-12*('TCO TO BE- SW'!$D158-1))&gt;12,((S$4+'TCO TO BE - HW'!S$4)/($E$4+'TCO TO BE - HW'!$E$4)*SUM(EXTERNE_POZICIE!$M$53:$M$64)*1.23)/EXTERNE_POZICIE!$B$41*12,IF((EXTERNE_POZICIE!$B$53-12*('TCO TO BE- SW'!$D158-1))&lt;0,0,(EXTERNE_POZICIE!$B$53-12*('TCO TO BE- SW'!$D158-1))*((S$4+'TCO TO BE - HW'!S$4)/($E$4+'TCO TO BE - HW'!$E$4)*SUM(EXTERNE_POZICIE!$M$53:$M$64)*1.23)/EXTERNE_POZICIE!$B$53)),0)+IFERROR(SUM(#REF!)*'TCO TO BE- SW'!S$4/'TCO TO BE- SW'!$E$4,0)</f>
        <v>0</v>
      </c>
      <c r="T168" s="565">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HW'!$E$4)*SUM(POZICIE_INTERNE!$I$52:$I$63))/POZICIE_INTERNE!$B$52)),0)+IFERROR(IF((EXTERNE_POZICIE!$B$53-12*('TCO TO BE- SW'!$D158-1))&gt;12,((T$4+'TCO TO BE - HW'!T$4)/($E$4+'TCO TO BE - HW'!$E$4)*SUM(EXTERNE_POZICIE!$M$53:$M$64)*1.23)/EXTERNE_POZICIE!$B$41*12,IF((EXTERNE_POZICIE!$B$53-12*('TCO TO BE- SW'!$D158-1))&lt;0,0,(EXTERNE_POZICIE!$B$53-12*('TCO TO BE- SW'!$D158-1))*((T$4+'TCO TO BE - HW'!T$4)/($E$4+'TCO TO BE - HW'!$E$4)*SUM(EXTERNE_POZICIE!$M$53:$M$64)*1.23)/EXTERNE_POZICIE!$B$53)),0)+IFERROR(SUM(#REF!)*'TCO TO BE- SW'!T$4/'TCO TO BE- SW'!$E$4,0)</f>
        <v>0</v>
      </c>
      <c r="U168" s="565">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HW'!$E$4)*SUM(POZICIE_INTERNE!$I$52:$I$63))/POZICIE_INTERNE!$B$52)),0)+IFERROR(IF((EXTERNE_POZICIE!$B$53-12*('TCO TO BE- SW'!$D158-1))&gt;12,((U$4+'TCO TO BE - HW'!U$4)/($E$4+'TCO TO BE - HW'!$E$4)*SUM(EXTERNE_POZICIE!$M$53:$M$64)*1.23)/EXTERNE_POZICIE!$B$41*12,IF((EXTERNE_POZICIE!$B$53-12*('TCO TO BE- SW'!$D158-1))&lt;0,0,(EXTERNE_POZICIE!$B$53-12*('TCO TO BE- SW'!$D158-1))*((U$4+'TCO TO BE - HW'!U$4)/($E$4+'TCO TO BE - HW'!$E$4)*SUM(EXTERNE_POZICIE!$M$53:$M$64)*1.23)/EXTERNE_POZICIE!$B$53)),0)+IFERROR(SUM(#REF!)*'TCO TO BE- SW'!U$4/'TCO TO BE- SW'!$E$4,0)</f>
        <v>0</v>
      </c>
      <c r="V168" s="565">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HW'!$E$4)*SUM(POZICIE_INTERNE!$I$52:$I$63))/POZICIE_INTERNE!$B$52)),0)+IFERROR(IF((EXTERNE_POZICIE!$B$53-12*('TCO TO BE- SW'!$D158-1))&gt;12,((V$4+'TCO TO BE - HW'!V$4)/($E$4+'TCO TO BE - HW'!$E$4)*SUM(EXTERNE_POZICIE!$M$53:$M$64)*1.23)/EXTERNE_POZICIE!$B$41*12,IF((EXTERNE_POZICIE!$B$53-12*('TCO TO BE- SW'!$D158-1))&lt;0,0,(EXTERNE_POZICIE!$B$53-12*('TCO TO BE- SW'!$D158-1))*((V$4+'TCO TO BE - HW'!V$4)/($E$4+'TCO TO BE - HW'!$E$4)*SUM(EXTERNE_POZICIE!$M$53:$M$64)*1.23)/EXTERNE_POZICIE!$B$53)),0)+IFERROR(SUM(#REF!)*'TCO TO BE- SW'!V$4/'TCO TO BE- SW'!$E$4,0)</f>
        <v>0</v>
      </c>
      <c r="W168" s="565">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HW'!$E$4)*SUM(POZICIE_INTERNE!$I$52:$I$63))/POZICIE_INTERNE!$B$52)),0)+IFERROR(IF((EXTERNE_POZICIE!$B$53-12*('TCO TO BE- SW'!$D158-1))&gt;12,((W$4+'TCO TO BE - HW'!W$4)/($E$4+'TCO TO BE - HW'!$E$4)*SUM(EXTERNE_POZICIE!$M$53:$M$64)*1.23)/EXTERNE_POZICIE!$B$41*12,IF((EXTERNE_POZICIE!$B$53-12*('TCO TO BE- SW'!$D158-1))&lt;0,0,(EXTERNE_POZICIE!$B$53-12*('TCO TO BE- SW'!$D158-1))*((W$4+'TCO TO BE - HW'!W$4)/($E$4+'TCO TO BE - HW'!$E$4)*SUM(EXTERNE_POZICIE!$M$53:$M$64)*1.23)/EXTERNE_POZICIE!$B$53)),0)+IFERROR(SUM(#REF!)*'TCO TO BE- SW'!W$4/'TCO TO BE- SW'!$E$4,0)</f>
        <v>0</v>
      </c>
      <c r="X168" s="565">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HW'!$E$4)*SUM(POZICIE_INTERNE!$I$52:$I$63))/POZICIE_INTERNE!$B$52)),0)+IFERROR(IF((EXTERNE_POZICIE!$B$53-12*('TCO TO BE- SW'!$D158-1))&gt;12,((X$4+'TCO TO BE - HW'!X$4)/($E$4+'TCO TO BE - HW'!$E$4)*SUM(EXTERNE_POZICIE!$M$53:$M$64)*1.23)/EXTERNE_POZICIE!$B$41*12,IF((EXTERNE_POZICIE!$B$53-12*('TCO TO BE- SW'!$D158-1))&lt;0,0,(EXTERNE_POZICIE!$B$53-12*('TCO TO BE- SW'!$D158-1))*((X$4+'TCO TO BE - HW'!X$4)/($E$4+'TCO TO BE - HW'!$E$4)*SUM(EXTERNE_POZICIE!$M$53:$M$64)*1.23)/EXTERNE_POZICIE!$B$53)),0)+IFERROR(SUM(#REF!)*'TCO TO BE- SW'!X$4/'TCO TO BE- SW'!$E$4,0)</f>
        <v>0</v>
      </c>
      <c r="Y168" s="565">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HW'!$E$4)*SUM(POZICIE_INTERNE!$I$52:$I$63))/POZICIE_INTERNE!$B$52)),0)+IFERROR(IF((EXTERNE_POZICIE!$B$53-12*('TCO TO BE- SW'!$D158-1))&gt;12,((Y$4+'TCO TO BE - HW'!Y$4)/($E$4+'TCO TO BE - HW'!$E$4)*SUM(EXTERNE_POZICIE!$M$53:$M$64)*1.23)/EXTERNE_POZICIE!$B$41*12,IF((EXTERNE_POZICIE!$B$53-12*('TCO TO BE- SW'!$D158-1))&lt;0,0,(EXTERNE_POZICIE!$B$53-12*('TCO TO BE- SW'!$D158-1))*((Y$4+'TCO TO BE - HW'!Y$4)/($E$4+'TCO TO BE - HW'!$E$4)*SUM(EXTERNE_POZICIE!$M$53:$M$64)*1.23)/EXTERNE_POZICIE!$B$53)),0)+IFERROR(SUM(#REF!)*'TCO TO BE- SW'!Y$4/'TCO TO BE- SW'!$E$4,0)</f>
        <v>0</v>
      </c>
      <c r="Z168" s="565">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HW'!$E$4)*SUM(POZICIE_INTERNE!$I$52:$I$63))/POZICIE_INTERNE!$B$52)),0)+IFERROR(IF((EXTERNE_POZICIE!$B$53-12*('TCO TO BE- SW'!$D158-1))&gt;12,((Z$4+'TCO TO BE - HW'!Z$4)/($E$4+'TCO TO BE - HW'!$E$4)*SUM(EXTERNE_POZICIE!$M$53:$M$64)*1.23)/EXTERNE_POZICIE!$B$41*12,IF((EXTERNE_POZICIE!$B$53-12*('TCO TO BE- SW'!$D158-1))&lt;0,0,(EXTERNE_POZICIE!$B$53-12*('TCO TO BE- SW'!$D158-1))*((Z$4+'TCO TO BE - HW'!Z$4)/($E$4+'TCO TO BE - HW'!$E$4)*SUM(EXTERNE_POZICIE!$M$53:$M$64)*1.23)/EXTERNE_POZICIE!$B$53)),0)+IFERROR(SUM(#REF!)*'TCO TO BE- SW'!Z$4/'TCO TO BE- SW'!$E$4,0)</f>
        <v>0</v>
      </c>
    </row>
    <row r="169" spans="1:26">
      <c r="A169" s="807"/>
      <c r="B169" s="808"/>
      <c r="C169" s="808"/>
      <c r="D169" s="64">
        <v>9</v>
      </c>
      <c r="E169" s="68">
        <f t="shared" si="16"/>
        <v>0</v>
      </c>
      <c r="F169" s="565">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HW'!$E$4)*SUM(POZICIE_INTERNE!$I$52:$I$63))/POZICIE_INTERNE!$B$52)),0)+IFERROR(IF((EXTERNE_POZICIE!$B$53-12*('TCO TO BE- SW'!$D159-1))&gt;12,((F$4+'TCO TO BE - HW'!F$4)/($E$4+'TCO TO BE - HW'!$E$4)*SUM(EXTERNE_POZICIE!$M$53:$M$64)*1.23)/EXTERNE_POZICIE!$B$41*12,IF((EXTERNE_POZICIE!$B$53-12*('TCO TO BE- SW'!$D159-1))&lt;0,0,(EXTERNE_POZICIE!$B$53-12*('TCO TO BE- SW'!$D159-1))*((F$4+'TCO TO BE - HW'!F$4)/($E$4+'TCO TO BE - HW'!$E$4)*SUM(EXTERNE_POZICIE!$M$53:$M$64)*1.23)/EXTERNE_POZICIE!$B$53)),0)+IFERROR(SUM(#REF!)*'TCO TO BE- SW'!F$4/'TCO TO BE- SW'!$E$4,0)</f>
        <v>0</v>
      </c>
      <c r="G169" s="565">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HW'!$E$4)*SUM(POZICIE_INTERNE!$I$52:$I$63))/POZICIE_INTERNE!$B$52)),0)+IFERROR(IF((EXTERNE_POZICIE!$B$53-12*('TCO TO BE- SW'!$D159-1))&gt;12,((G$4+'TCO TO BE - HW'!G$4)/($E$4+'TCO TO BE - HW'!$E$4)*SUM(EXTERNE_POZICIE!$M$53:$M$64)*1.23)/EXTERNE_POZICIE!$B$41*12,IF((EXTERNE_POZICIE!$B$53-12*('TCO TO BE- SW'!$D159-1))&lt;0,0,(EXTERNE_POZICIE!$B$53-12*('TCO TO BE- SW'!$D159-1))*((G$4+'TCO TO BE - HW'!G$4)/($E$4+'TCO TO BE - HW'!$E$4)*SUM(EXTERNE_POZICIE!$M$53:$M$64)*1.23)/EXTERNE_POZICIE!$B$53)),0)+IFERROR(SUM(#REF!)*'TCO TO BE- SW'!G$4/'TCO TO BE- SW'!$E$4,0)</f>
        <v>0</v>
      </c>
      <c r="H169" s="565">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HW'!$E$4)*SUM(POZICIE_INTERNE!$I$52:$I$63))/POZICIE_INTERNE!$B$52)),0)+IFERROR(IF((EXTERNE_POZICIE!$B$53-12*('TCO TO BE- SW'!$D159-1))&gt;12,((H$4+'TCO TO BE - HW'!H$4)/($E$4+'TCO TO BE - HW'!$E$4)*SUM(EXTERNE_POZICIE!$M$53:$M$64)*1.23)/EXTERNE_POZICIE!$B$41*12,IF((EXTERNE_POZICIE!$B$53-12*('TCO TO BE- SW'!$D159-1))&lt;0,0,(EXTERNE_POZICIE!$B$53-12*('TCO TO BE- SW'!$D159-1))*((H$4+'TCO TO BE - HW'!H$4)/($E$4+'TCO TO BE - HW'!$E$4)*SUM(EXTERNE_POZICIE!$M$53:$M$64)*1.23)/EXTERNE_POZICIE!$B$53)),0)+IFERROR(SUM(#REF!)*'TCO TO BE- SW'!H$4/'TCO TO BE- SW'!$E$4,0)</f>
        <v>0</v>
      </c>
      <c r="I169" s="565">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HW'!$E$4)*SUM(POZICIE_INTERNE!$I$52:$I$63))/POZICIE_INTERNE!$B$52)),0)+IFERROR(IF((EXTERNE_POZICIE!$B$53-12*('TCO TO BE- SW'!$D159-1))&gt;12,((I$4+'TCO TO BE - HW'!I$4)/($E$4+'TCO TO BE - HW'!$E$4)*SUM(EXTERNE_POZICIE!$M$53:$M$64)*1.23)/EXTERNE_POZICIE!$B$41*12,IF((EXTERNE_POZICIE!$B$53-12*('TCO TO BE- SW'!$D159-1))&lt;0,0,(EXTERNE_POZICIE!$B$53-12*('TCO TO BE- SW'!$D159-1))*((I$4+'TCO TO BE - HW'!I$4)/($E$4+'TCO TO BE - HW'!$E$4)*SUM(EXTERNE_POZICIE!$M$53:$M$64)*1.23)/EXTERNE_POZICIE!$B$53)),0)+IFERROR(SUM(#REF!)*'TCO TO BE- SW'!I$4/'TCO TO BE- SW'!$E$4,0)</f>
        <v>0</v>
      </c>
      <c r="J169" s="565">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HW'!$E$4)*SUM(POZICIE_INTERNE!$I$52:$I$63))/POZICIE_INTERNE!$B$52)),0)+IFERROR(IF((EXTERNE_POZICIE!$B$53-12*('TCO TO BE- SW'!$D159-1))&gt;12,((J$4+'TCO TO BE - HW'!J$4)/($E$4+'TCO TO BE - HW'!$E$4)*SUM(EXTERNE_POZICIE!$M$53:$M$64)*1.23)/EXTERNE_POZICIE!$B$41*12,IF((EXTERNE_POZICIE!$B$53-12*('TCO TO BE- SW'!$D159-1))&lt;0,0,(EXTERNE_POZICIE!$B$53-12*('TCO TO BE- SW'!$D159-1))*((J$4+'TCO TO BE - HW'!J$4)/($E$4+'TCO TO BE - HW'!$E$4)*SUM(EXTERNE_POZICIE!$M$53:$M$64)*1.23)/EXTERNE_POZICIE!$B$53)),0)+IFERROR(SUM(#REF!)*'TCO TO BE- SW'!J$4/'TCO TO BE- SW'!$E$4,0)</f>
        <v>0</v>
      </c>
      <c r="K169" s="565">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HW'!$E$4)*SUM(POZICIE_INTERNE!$I$52:$I$63))/POZICIE_INTERNE!$B$52)),0)+IFERROR(IF((EXTERNE_POZICIE!$B$53-12*('TCO TO BE- SW'!$D159-1))&gt;12,((K$4+'TCO TO BE - HW'!K$4)/($E$4+'TCO TO BE - HW'!$E$4)*SUM(EXTERNE_POZICIE!$M$53:$M$64)*1.23)/EXTERNE_POZICIE!$B$41*12,IF((EXTERNE_POZICIE!$B$53-12*('TCO TO BE- SW'!$D159-1))&lt;0,0,(EXTERNE_POZICIE!$B$53-12*('TCO TO BE- SW'!$D159-1))*((K$4+'TCO TO BE - HW'!K$4)/($E$4+'TCO TO BE - HW'!$E$4)*SUM(EXTERNE_POZICIE!$M$53:$M$64)*1.23)/EXTERNE_POZICIE!$B$53)),0)+IFERROR(SUM(#REF!)*'TCO TO BE- SW'!K$4/'TCO TO BE- SW'!$E$4,0)</f>
        <v>0</v>
      </c>
      <c r="L169" s="565">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HW'!$E$4)*SUM(POZICIE_INTERNE!$I$52:$I$63))/POZICIE_INTERNE!$B$52)),0)+IFERROR(IF((EXTERNE_POZICIE!$B$53-12*('TCO TO BE- SW'!$D159-1))&gt;12,((L$4+'TCO TO BE - HW'!L$4)/($E$4+'TCO TO BE - HW'!$E$4)*SUM(EXTERNE_POZICIE!$M$53:$M$64)*1.23)/EXTERNE_POZICIE!$B$41*12,IF((EXTERNE_POZICIE!$B$53-12*('TCO TO BE- SW'!$D159-1))&lt;0,0,(EXTERNE_POZICIE!$B$53-12*('TCO TO BE- SW'!$D159-1))*((L$4+'TCO TO BE - HW'!L$4)/($E$4+'TCO TO BE - HW'!$E$4)*SUM(EXTERNE_POZICIE!$M$53:$M$64)*1.23)/EXTERNE_POZICIE!$B$53)),0)+IFERROR(SUM(#REF!)*'TCO TO BE- SW'!L$4/'TCO TO BE- SW'!$E$4,0)</f>
        <v>0</v>
      </c>
      <c r="M169" s="565">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HW'!$E$4)*SUM(POZICIE_INTERNE!$I$52:$I$63))/POZICIE_INTERNE!$B$52)),0)+IFERROR(IF((EXTERNE_POZICIE!$B$53-12*('TCO TO BE- SW'!$D159-1))&gt;12,((M$4+'TCO TO BE - HW'!M$4)/($E$4+'TCO TO BE - HW'!$E$4)*SUM(EXTERNE_POZICIE!$M$53:$M$64)*1.23)/EXTERNE_POZICIE!$B$41*12,IF((EXTERNE_POZICIE!$B$53-12*('TCO TO BE- SW'!$D159-1))&lt;0,0,(EXTERNE_POZICIE!$B$53-12*('TCO TO BE- SW'!$D159-1))*((M$4+'TCO TO BE - HW'!M$4)/($E$4+'TCO TO BE - HW'!$E$4)*SUM(EXTERNE_POZICIE!$M$53:$M$64)*1.23)/EXTERNE_POZICIE!$B$53)),0)+IFERROR(SUM(#REF!)*'TCO TO BE- SW'!M$4/'TCO TO BE- SW'!$E$4,0)</f>
        <v>0</v>
      </c>
      <c r="N169" s="565">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HW'!$E$4)*SUM(POZICIE_INTERNE!$I$52:$I$63))/POZICIE_INTERNE!$B$52)),0)+IFERROR(IF((EXTERNE_POZICIE!$B$53-12*('TCO TO BE- SW'!$D159-1))&gt;12,((N$4+'TCO TO BE - HW'!N$4)/($E$4+'TCO TO BE - HW'!$E$4)*SUM(EXTERNE_POZICIE!$M$53:$M$64)*1.23)/EXTERNE_POZICIE!$B$41*12,IF((EXTERNE_POZICIE!$B$53-12*('TCO TO BE- SW'!$D159-1))&lt;0,0,(EXTERNE_POZICIE!$B$53-12*('TCO TO BE- SW'!$D159-1))*((N$4+'TCO TO BE - HW'!N$4)/($E$4+'TCO TO BE - HW'!$E$4)*SUM(EXTERNE_POZICIE!$M$53:$M$64)*1.23)/EXTERNE_POZICIE!$B$53)),0)+IFERROR(SUM(#REF!)*'TCO TO BE- SW'!N$4/'TCO TO BE- SW'!$E$4,0)</f>
        <v>0</v>
      </c>
      <c r="O169" s="565">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HW'!$E$4)*SUM(POZICIE_INTERNE!$I$52:$I$63))/POZICIE_INTERNE!$B$52)),0)+IFERROR(IF((EXTERNE_POZICIE!$B$53-12*('TCO TO BE- SW'!$D159-1))&gt;12,((O$4+'TCO TO BE - HW'!O$4)/($E$4+'TCO TO BE - HW'!$E$4)*SUM(EXTERNE_POZICIE!$M$53:$M$64)*1.23)/EXTERNE_POZICIE!$B$41*12,IF((EXTERNE_POZICIE!$B$53-12*('TCO TO BE- SW'!$D159-1))&lt;0,0,(EXTERNE_POZICIE!$B$53-12*('TCO TO BE- SW'!$D159-1))*((O$4+'TCO TO BE - HW'!O$4)/($E$4+'TCO TO BE - HW'!$E$4)*SUM(EXTERNE_POZICIE!$M$53:$M$64)*1.23)/EXTERNE_POZICIE!$B$53)),0)+IFERROR(SUM(#REF!)*'TCO TO BE- SW'!O$4/'TCO TO BE- SW'!$E$4,0)</f>
        <v>0</v>
      </c>
      <c r="P169" s="565">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HW'!$E$4)*SUM(POZICIE_INTERNE!$I$52:$I$63))/POZICIE_INTERNE!$B$52)),0)+IFERROR(IF((EXTERNE_POZICIE!$B$53-12*('TCO TO BE- SW'!$D159-1))&gt;12,((P$4+'TCO TO BE - HW'!P$4)/($E$4+'TCO TO BE - HW'!$E$4)*SUM(EXTERNE_POZICIE!$M$53:$M$64)*1.23)/EXTERNE_POZICIE!$B$41*12,IF((EXTERNE_POZICIE!$B$53-12*('TCO TO BE- SW'!$D159-1))&lt;0,0,(EXTERNE_POZICIE!$B$53-12*('TCO TO BE- SW'!$D159-1))*((P$4+'TCO TO BE - HW'!P$4)/($E$4+'TCO TO BE - HW'!$E$4)*SUM(EXTERNE_POZICIE!$M$53:$M$64)*1.23)/EXTERNE_POZICIE!$B$53)),0)+IFERROR(SUM(#REF!)*'TCO TO BE- SW'!P$4/'TCO TO BE- SW'!$E$4,0)</f>
        <v>0</v>
      </c>
      <c r="Q169" s="565">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HW'!$E$4)*SUM(POZICIE_INTERNE!$I$52:$I$63))/POZICIE_INTERNE!$B$52)),0)+IFERROR(IF((EXTERNE_POZICIE!$B$53-12*('TCO TO BE- SW'!$D159-1))&gt;12,((Q$4+'TCO TO BE - HW'!Q$4)/($E$4+'TCO TO BE - HW'!$E$4)*SUM(EXTERNE_POZICIE!$M$53:$M$64)*1.23)/EXTERNE_POZICIE!$B$41*12,IF((EXTERNE_POZICIE!$B$53-12*('TCO TO BE- SW'!$D159-1))&lt;0,0,(EXTERNE_POZICIE!$B$53-12*('TCO TO BE- SW'!$D159-1))*((Q$4+'TCO TO BE - HW'!Q$4)/($E$4+'TCO TO BE - HW'!$E$4)*SUM(EXTERNE_POZICIE!$M$53:$M$64)*1.23)/EXTERNE_POZICIE!$B$53)),0)+IFERROR(SUM(#REF!)*'TCO TO BE- SW'!Q$4/'TCO TO BE- SW'!$E$4,0)</f>
        <v>0</v>
      </c>
      <c r="R169" s="565">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HW'!$E$4)*SUM(POZICIE_INTERNE!$I$52:$I$63))/POZICIE_INTERNE!$B$52)),0)+IFERROR(IF((EXTERNE_POZICIE!$B$53-12*('TCO TO BE- SW'!$D159-1))&gt;12,((R$4+'TCO TO BE - HW'!R$4)/($E$4+'TCO TO BE - HW'!$E$4)*SUM(EXTERNE_POZICIE!$M$53:$M$64)*1.23)/EXTERNE_POZICIE!$B$41*12,IF((EXTERNE_POZICIE!$B$53-12*('TCO TO BE- SW'!$D159-1))&lt;0,0,(EXTERNE_POZICIE!$B$53-12*('TCO TO BE- SW'!$D159-1))*((R$4+'TCO TO BE - HW'!R$4)/($E$4+'TCO TO BE - HW'!$E$4)*SUM(EXTERNE_POZICIE!$M$53:$M$64)*1.23)/EXTERNE_POZICIE!$B$53)),0)+IFERROR(SUM(#REF!)*'TCO TO BE- SW'!R$4/'TCO TO BE- SW'!$E$4,0)</f>
        <v>0</v>
      </c>
      <c r="S169" s="565">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HW'!$E$4)*SUM(POZICIE_INTERNE!$I$52:$I$63))/POZICIE_INTERNE!$B$52)),0)+IFERROR(IF((EXTERNE_POZICIE!$B$53-12*('TCO TO BE- SW'!$D159-1))&gt;12,((S$4+'TCO TO BE - HW'!S$4)/($E$4+'TCO TO BE - HW'!$E$4)*SUM(EXTERNE_POZICIE!$M$53:$M$64)*1.23)/EXTERNE_POZICIE!$B$41*12,IF((EXTERNE_POZICIE!$B$53-12*('TCO TO BE- SW'!$D159-1))&lt;0,0,(EXTERNE_POZICIE!$B$53-12*('TCO TO BE- SW'!$D159-1))*((S$4+'TCO TO BE - HW'!S$4)/($E$4+'TCO TO BE - HW'!$E$4)*SUM(EXTERNE_POZICIE!$M$53:$M$64)*1.23)/EXTERNE_POZICIE!$B$53)),0)+IFERROR(SUM(#REF!)*'TCO TO BE- SW'!S$4/'TCO TO BE- SW'!$E$4,0)</f>
        <v>0</v>
      </c>
      <c r="T169" s="565">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HW'!$E$4)*SUM(POZICIE_INTERNE!$I$52:$I$63))/POZICIE_INTERNE!$B$52)),0)+IFERROR(IF((EXTERNE_POZICIE!$B$53-12*('TCO TO BE- SW'!$D159-1))&gt;12,((T$4+'TCO TO BE - HW'!T$4)/($E$4+'TCO TO BE - HW'!$E$4)*SUM(EXTERNE_POZICIE!$M$53:$M$64)*1.23)/EXTERNE_POZICIE!$B$41*12,IF((EXTERNE_POZICIE!$B$53-12*('TCO TO BE- SW'!$D159-1))&lt;0,0,(EXTERNE_POZICIE!$B$53-12*('TCO TO BE- SW'!$D159-1))*((T$4+'TCO TO BE - HW'!T$4)/($E$4+'TCO TO BE - HW'!$E$4)*SUM(EXTERNE_POZICIE!$M$53:$M$64)*1.23)/EXTERNE_POZICIE!$B$53)),0)+IFERROR(SUM(#REF!)*'TCO TO BE- SW'!T$4/'TCO TO BE- SW'!$E$4,0)</f>
        <v>0</v>
      </c>
      <c r="U169" s="565">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HW'!$E$4)*SUM(POZICIE_INTERNE!$I$52:$I$63))/POZICIE_INTERNE!$B$52)),0)+IFERROR(IF((EXTERNE_POZICIE!$B$53-12*('TCO TO BE- SW'!$D159-1))&gt;12,((U$4+'TCO TO BE - HW'!U$4)/($E$4+'TCO TO BE - HW'!$E$4)*SUM(EXTERNE_POZICIE!$M$53:$M$64)*1.23)/EXTERNE_POZICIE!$B$41*12,IF((EXTERNE_POZICIE!$B$53-12*('TCO TO BE- SW'!$D159-1))&lt;0,0,(EXTERNE_POZICIE!$B$53-12*('TCO TO BE- SW'!$D159-1))*((U$4+'TCO TO BE - HW'!U$4)/($E$4+'TCO TO BE - HW'!$E$4)*SUM(EXTERNE_POZICIE!$M$53:$M$64)*1.23)/EXTERNE_POZICIE!$B$53)),0)+IFERROR(SUM(#REF!)*'TCO TO BE- SW'!U$4/'TCO TO BE- SW'!$E$4,0)</f>
        <v>0</v>
      </c>
      <c r="V169" s="565">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HW'!$E$4)*SUM(POZICIE_INTERNE!$I$52:$I$63))/POZICIE_INTERNE!$B$52)),0)+IFERROR(IF((EXTERNE_POZICIE!$B$53-12*('TCO TO BE- SW'!$D159-1))&gt;12,((V$4+'TCO TO BE - HW'!V$4)/($E$4+'TCO TO BE - HW'!$E$4)*SUM(EXTERNE_POZICIE!$M$53:$M$64)*1.23)/EXTERNE_POZICIE!$B$41*12,IF((EXTERNE_POZICIE!$B$53-12*('TCO TO BE- SW'!$D159-1))&lt;0,0,(EXTERNE_POZICIE!$B$53-12*('TCO TO BE- SW'!$D159-1))*((V$4+'TCO TO BE - HW'!V$4)/($E$4+'TCO TO BE - HW'!$E$4)*SUM(EXTERNE_POZICIE!$M$53:$M$64)*1.23)/EXTERNE_POZICIE!$B$53)),0)+IFERROR(SUM(#REF!)*'TCO TO BE- SW'!V$4/'TCO TO BE- SW'!$E$4,0)</f>
        <v>0</v>
      </c>
      <c r="W169" s="565">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HW'!$E$4)*SUM(POZICIE_INTERNE!$I$52:$I$63))/POZICIE_INTERNE!$B$52)),0)+IFERROR(IF((EXTERNE_POZICIE!$B$53-12*('TCO TO BE- SW'!$D159-1))&gt;12,((W$4+'TCO TO BE - HW'!W$4)/($E$4+'TCO TO BE - HW'!$E$4)*SUM(EXTERNE_POZICIE!$M$53:$M$64)*1.23)/EXTERNE_POZICIE!$B$41*12,IF((EXTERNE_POZICIE!$B$53-12*('TCO TO BE- SW'!$D159-1))&lt;0,0,(EXTERNE_POZICIE!$B$53-12*('TCO TO BE- SW'!$D159-1))*((W$4+'TCO TO BE - HW'!W$4)/($E$4+'TCO TO BE - HW'!$E$4)*SUM(EXTERNE_POZICIE!$M$53:$M$64)*1.23)/EXTERNE_POZICIE!$B$53)),0)+IFERROR(SUM(#REF!)*'TCO TO BE- SW'!W$4/'TCO TO BE- SW'!$E$4,0)</f>
        <v>0</v>
      </c>
      <c r="X169" s="565">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HW'!$E$4)*SUM(POZICIE_INTERNE!$I$52:$I$63))/POZICIE_INTERNE!$B$52)),0)+IFERROR(IF((EXTERNE_POZICIE!$B$53-12*('TCO TO BE- SW'!$D159-1))&gt;12,((X$4+'TCO TO BE - HW'!X$4)/($E$4+'TCO TO BE - HW'!$E$4)*SUM(EXTERNE_POZICIE!$M$53:$M$64)*1.23)/EXTERNE_POZICIE!$B$41*12,IF((EXTERNE_POZICIE!$B$53-12*('TCO TO BE- SW'!$D159-1))&lt;0,0,(EXTERNE_POZICIE!$B$53-12*('TCO TO BE- SW'!$D159-1))*((X$4+'TCO TO BE - HW'!X$4)/($E$4+'TCO TO BE - HW'!$E$4)*SUM(EXTERNE_POZICIE!$M$53:$M$64)*1.23)/EXTERNE_POZICIE!$B$53)),0)+IFERROR(SUM(#REF!)*'TCO TO BE- SW'!X$4/'TCO TO BE- SW'!$E$4,0)</f>
        <v>0</v>
      </c>
      <c r="Y169" s="565">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HW'!$E$4)*SUM(POZICIE_INTERNE!$I$52:$I$63))/POZICIE_INTERNE!$B$52)),0)+IFERROR(IF((EXTERNE_POZICIE!$B$53-12*('TCO TO BE- SW'!$D159-1))&gt;12,((Y$4+'TCO TO BE - HW'!Y$4)/($E$4+'TCO TO BE - HW'!$E$4)*SUM(EXTERNE_POZICIE!$M$53:$M$64)*1.23)/EXTERNE_POZICIE!$B$41*12,IF((EXTERNE_POZICIE!$B$53-12*('TCO TO BE- SW'!$D159-1))&lt;0,0,(EXTERNE_POZICIE!$B$53-12*('TCO TO BE- SW'!$D159-1))*((Y$4+'TCO TO BE - HW'!Y$4)/($E$4+'TCO TO BE - HW'!$E$4)*SUM(EXTERNE_POZICIE!$M$53:$M$64)*1.23)/EXTERNE_POZICIE!$B$53)),0)+IFERROR(SUM(#REF!)*'TCO TO BE- SW'!Y$4/'TCO TO BE- SW'!$E$4,0)</f>
        <v>0</v>
      </c>
      <c r="Z169" s="565">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HW'!$E$4)*SUM(POZICIE_INTERNE!$I$52:$I$63))/POZICIE_INTERNE!$B$52)),0)+IFERROR(IF((EXTERNE_POZICIE!$B$53-12*('TCO TO BE- SW'!$D159-1))&gt;12,((Z$4+'TCO TO BE - HW'!Z$4)/($E$4+'TCO TO BE - HW'!$E$4)*SUM(EXTERNE_POZICIE!$M$53:$M$64)*1.23)/EXTERNE_POZICIE!$B$41*12,IF((EXTERNE_POZICIE!$B$53-12*('TCO TO BE- SW'!$D159-1))&lt;0,0,(EXTERNE_POZICIE!$B$53-12*('TCO TO BE- SW'!$D159-1))*((Z$4+'TCO TO BE - HW'!Z$4)/($E$4+'TCO TO BE - HW'!$E$4)*SUM(EXTERNE_POZICIE!$M$53:$M$64)*1.23)/EXTERNE_POZICIE!$B$53)),0)+IFERROR(SUM(#REF!)*'TCO TO BE- SW'!Z$4/'TCO TO BE- SW'!$E$4,0)</f>
        <v>0</v>
      </c>
    </row>
    <row r="170" spans="1:26" ht="15.75" thickBot="1">
      <c r="A170" s="807"/>
      <c r="B170" s="808"/>
      <c r="C170" s="808"/>
      <c r="D170" s="65">
        <v>10</v>
      </c>
      <c r="E170" s="69">
        <f t="shared" si="16"/>
        <v>0</v>
      </c>
      <c r="F170" s="565">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HW'!$E$4)*SUM(POZICIE_INTERNE!$I$52:$I$63))/POZICIE_INTERNE!$B$52)),0)+IFERROR(IF((EXTERNE_POZICIE!$B$53-12*('TCO TO BE- SW'!$D160-1))&gt;12,((F$4+'TCO TO BE - HW'!F$4)/($E$4+'TCO TO BE - HW'!$E$4)*SUM(EXTERNE_POZICIE!$M$53:$M$64)*1.23)/EXTERNE_POZICIE!$B$41*12,IF((EXTERNE_POZICIE!$B$53-12*('TCO TO BE- SW'!$D160-1))&lt;0,0,(EXTERNE_POZICIE!$B$53-12*('TCO TO BE- SW'!$D160-1))*((F$4+'TCO TO BE - HW'!F$4)/($E$4+'TCO TO BE - HW'!$E$4)*SUM(EXTERNE_POZICIE!$M$53:$M$64)*1.23)/EXTERNE_POZICIE!$B$53)),0)+IFERROR(SUM(#REF!)*'TCO TO BE- SW'!F$4/'TCO TO BE- SW'!$E$4,0)</f>
        <v>0</v>
      </c>
      <c r="G170" s="565">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HW'!$E$4)*SUM(POZICIE_INTERNE!$I$52:$I$63))/POZICIE_INTERNE!$B$52)),0)+IFERROR(IF((EXTERNE_POZICIE!$B$53-12*('TCO TO BE- SW'!$D160-1))&gt;12,((G$4+'TCO TO BE - HW'!G$4)/($E$4+'TCO TO BE - HW'!$E$4)*SUM(EXTERNE_POZICIE!$M$53:$M$64)*1.23)/EXTERNE_POZICIE!$B$41*12,IF((EXTERNE_POZICIE!$B$53-12*('TCO TO BE- SW'!$D160-1))&lt;0,0,(EXTERNE_POZICIE!$B$53-12*('TCO TO BE- SW'!$D160-1))*((G$4+'TCO TO BE - HW'!G$4)/($E$4+'TCO TO BE - HW'!$E$4)*SUM(EXTERNE_POZICIE!$M$53:$M$64)*1.23)/EXTERNE_POZICIE!$B$53)),0)+IFERROR(SUM(#REF!)*'TCO TO BE- SW'!G$4/'TCO TO BE- SW'!$E$4,0)</f>
        <v>0</v>
      </c>
      <c r="H170" s="565">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HW'!$E$4)*SUM(POZICIE_INTERNE!$I$52:$I$63))/POZICIE_INTERNE!$B$52)),0)+IFERROR(IF((EXTERNE_POZICIE!$B$53-12*('TCO TO BE- SW'!$D160-1))&gt;12,((H$4+'TCO TO BE - HW'!H$4)/($E$4+'TCO TO BE - HW'!$E$4)*SUM(EXTERNE_POZICIE!$M$53:$M$64)*1.23)/EXTERNE_POZICIE!$B$41*12,IF((EXTERNE_POZICIE!$B$53-12*('TCO TO BE- SW'!$D160-1))&lt;0,0,(EXTERNE_POZICIE!$B$53-12*('TCO TO BE- SW'!$D160-1))*((H$4+'TCO TO BE - HW'!H$4)/($E$4+'TCO TO BE - HW'!$E$4)*SUM(EXTERNE_POZICIE!$M$53:$M$64)*1.23)/EXTERNE_POZICIE!$B$53)),0)+IFERROR(SUM(#REF!)*'TCO TO BE- SW'!H$4/'TCO TO BE- SW'!$E$4,0)</f>
        <v>0</v>
      </c>
      <c r="I170" s="565">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HW'!$E$4)*SUM(POZICIE_INTERNE!$I$52:$I$63))/POZICIE_INTERNE!$B$52)),0)+IFERROR(IF((EXTERNE_POZICIE!$B$53-12*('TCO TO BE- SW'!$D160-1))&gt;12,((I$4+'TCO TO BE - HW'!I$4)/($E$4+'TCO TO BE - HW'!$E$4)*SUM(EXTERNE_POZICIE!$M$53:$M$64)*1.23)/EXTERNE_POZICIE!$B$41*12,IF((EXTERNE_POZICIE!$B$53-12*('TCO TO BE- SW'!$D160-1))&lt;0,0,(EXTERNE_POZICIE!$B$53-12*('TCO TO BE- SW'!$D160-1))*((I$4+'TCO TO BE - HW'!I$4)/($E$4+'TCO TO BE - HW'!$E$4)*SUM(EXTERNE_POZICIE!$M$53:$M$64)*1.23)/EXTERNE_POZICIE!$B$53)),0)+IFERROR(SUM(#REF!)*'TCO TO BE- SW'!I$4/'TCO TO BE- SW'!$E$4,0)</f>
        <v>0</v>
      </c>
      <c r="J170" s="565">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HW'!$E$4)*SUM(POZICIE_INTERNE!$I$52:$I$63))/POZICIE_INTERNE!$B$52)),0)+IFERROR(IF((EXTERNE_POZICIE!$B$53-12*('TCO TO BE- SW'!$D160-1))&gt;12,((J$4+'TCO TO BE - HW'!J$4)/($E$4+'TCO TO BE - HW'!$E$4)*SUM(EXTERNE_POZICIE!$M$53:$M$64)*1.23)/EXTERNE_POZICIE!$B$41*12,IF((EXTERNE_POZICIE!$B$53-12*('TCO TO BE- SW'!$D160-1))&lt;0,0,(EXTERNE_POZICIE!$B$53-12*('TCO TO BE- SW'!$D160-1))*((J$4+'TCO TO BE - HW'!J$4)/($E$4+'TCO TO BE - HW'!$E$4)*SUM(EXTERNE_POZICIE!$M$53:$M$64)*1.23)/EXTERNE_POZICIE!$B$53)),0)+IFERROR(SUM(#REF!)*'TCO TO BE- SW'!J$4/'TCO TO BE- SW'!$E$4,0)</f>
        <v>0</v>
      </c>
      <c r="K170" s="565">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HW'!$E$4)*SUM(POZICIE_INTERNE!$I$52:$I$63))/POZICIE_INTERNE!$B$52)),0)+IFERROR(IF((EXTERNE_POZICIE!$B$53-12*('TCO TO BE- SW'!$D160-1))&gt;12,((K$4+'TCO TO BE - HW'!K$4)/($E$4+'TCO TO BE - HW'!$E$4)*SUM(EXTERNE_POZICIE!$M$53:$M$64)*1.23)/EXTERNE_POZICIE!$B$41*12,IF((EXTERNE_POZICIE!$B$53-12*('TCO TO BE- SW'!$D160-1))&lt;0,0,(EXTERNE_POZICIE!$B$53-12*('TCO TO BE- SW'!$D160-1))*((K$4+'TCO TO BE - HW'!K$4)/($E$4+'TCO TO BE - HW'!$E$4)*SUM(EXTERNE_POZICIE!$M$53:$M$64)*1.23)/EXTERNE_POZICIE!$B$53)),0)+IFERROR(SUM(#REF!)*'TCO TO BE- SW'!K$4/'TCO TO BE- SW'!$E$4,0)</f>
        <v>0</v>
      </c>
      <c r="L170" s="565">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HW'!$E$4)*SUM(POZICIE_INTERNE!$I$52:$I$63))/POZICIE_INTERNE!$B$52)),0)+IFERROR(IF((EXTERNE_POZICIE!$B$53-12*('TCO TO BE- SW'!$D160-1))&gt;12,((L$4+'TCO TO BE - HW'!L$4)/($E$4+'TCO TO BE - HW'!$E$4)*SUM(EXTERNE_POZICIE!$M$53:$M$64)*1.23)/EXTERNE_POZICIE!$B$41*12,IF((EXTERNE_POZICIE!$B$53-12*('TCO TO BE- SW'!$D160-1))&lt;0,0,(EXTERNE_POZICIE!$B$53-12*('TCO TO BE- SW'!$D160-1))*((L$4+'TCO TO BE - HW'!L$4)/($E$4+'TCO TO BE - HW'!$E$4)*SUM(EXTERNE_POZICIE!$M$53:$M$64)*1.23)/EXTERNE_POZICIE!$B$53)),0)+IFERROR(SUM(#REF!)*'TCO TO BE- SW'!L$4/'TCO TO BE- SW'!$E$4,0)</f>
        <v>0</v>
      </c>
      <c r="M170" s="565">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HW'!$E$4)*SUM(POZICIE_INTERNE!$I$52:$I$63))/POZICIE_INTERNE!$B$52)),0)+IFERROR(IF((EXTERNE_POZICIE!$B$53-12*('TCO TO BE- SW'!$D160-1))&gt;12,((M$4+'TCO TO BE - HW'!M$4)/($E$4+'TCO TO BE - HW'!$E$4)*SUM(EXTERNE_POZICIE!$M$53:$M$64)*1.23)/EXTERNE_POZICIE!$B$41*12,IF((EXTERNE_POZICIE!$B$53-12*('TCO TO BE- SW'!$D160-1))&lt;0,0,(EXTERNE_POZICIE!$B$53-12*('TCO TO BE- SW'!$D160-1))*((M$4+'TCO TO BE - HW'!M$4)/($E$4+'TCO TO BE - HW'!$E$4)*SUM(EXTERNE_POZICIE!$M$53:$M$64)*1.23)/EXTERNE_POZICIE!$B$53)),0)+IFERROR(SUM(#REF!)*'TCO TO BE- SW'!M$4/'TCO TO BE- SW'!$E$4,0)</f>
        <v>0</v>
      </c>
      <c r="N170" s="565">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HW'!$E$4)*SUM(POZICIE_INTERNE!$I$52:$I$63))/POZICIE_INTERNE!$B$52)),0)+IFERROR(IF((EXTERNE_POZICIE!$B$53-12*('TCO TO BE- SW'!$D160-1))&gt;12,((N$4+'TCO TO BE - HW'!N$4)/($E$4+'TCO TO BE - HW'!$E$4)*SUM(EXTERNE_POZICIE!$M$53:$M$64)*1.23)/EXTERNE_POZICIE!$B$41*12,IF((EXTERNE_POZICIE!$B$53-12*('TCO TO BE- SW'!$D160-1))&lt;0,0,(EXTERNE_POZICIE!$B$53-12*('TCO TO BE- SW'!$D160-1))*((N$4+'TCO TO BE - HW'!N$4)/($E$4+'TCO TO BE - HW'!$E$4)*SUM(EXTERNE_POZICIE!$M$53:$M$64)*1.23)/EXTERNE_POZICIE!$B$53)),0)+IFERROR(SUM(#REF!)*'TCO TO BE- SW'!N$4/'TCO TO BE- SW'!$E$4,0)</f>
        <v>0</v>
      </c>
      <c r="O170" s="565">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HW'!$E$4)*SUM(POZICIE_INTERNE!$I$52:$I$63))/POZICIE_INTERNE!$B$52)),0)+IFERROR(IF((EXTERNE_POZICIE!$B$53-12*('TCO TO BE- SW'!$D160-1))&gt;12,((O$4+'TCO TO BE - HW'!O$4)/($E$4+'TCO TO BE - HW'!$E$4)*SUM(EXTERNE_POZICIE!$M$53:$M$64)*1.23)/EXTERNE_POZICIE!$B$41*12,IF((EXTERNE_POZICIE!$B$53-12*('TCO TO BE- SW'!$D160-1))&lt;0,0,(EXTERNE_POZICIE!$B$53-12*('TCO TO BE- SW'!$D160-1))*((O$4+'TCO TO BE - HW'!O$4)/($E$4+'TCO TO BE - HW'!$E$4)*SUM(EXTERNE_POZICIE!$M$53:$M$64)*1.23)/EXTERNE_POZICIE!$B$53)),0)+IFERROR(SUM(#REF!)*'TCO TO BE- SW'!O$4/'TCO TO BE- SW'!$E$4,0)</f>
        <v>0</v>
      </c>
      <c r="P170" s="565">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HW'!$E$4)*SUM(POZICIE_INTERNE!$I$52:$I$63))/POZICIE_INTERNE!$B$52)),0)+IFERROR(IF((EXTERNE_POZICIE!$B$53-12*('TCO TO BE- SW'!$D160-1))&gt;12,((P$4+'TCO TO BE - HW'!P$4)/($E$4+'TCO TO BE - HW'!$E$4)*SUM(EXTERNE_POZICIE!$M$53:$M$64)*1.23)/EXTERNE_POZICIE!$B$41*12,IF((EXTERNE_POZICIE!$B$53-12*('TCO TO BE- SW'!$D160-1))&lt;0,0,(EXTERNE_POZICIE!$B$53-12*('TCO TO BE- SW'!$D160-1))*((P$4+'TCO TO BE - HW'!P$4)/($E$4+'TCO TO BE - HW'!$E$4)*SUM(EXTERNE_POZICIE!$M$53:$M$64)*1.23)/EXTERNE_POZICIE!$B$53)),0)+IFERROR(SUM(#REF!)*'TCO TO BE- SW'!P$4/'TCO TO BE- SW'!$E$4,0)</f>
        <v>0</v>
      </c>
      <c r="Q170" s="565">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HW'!$E$4)*SUM(POZICIE_INTERNE!$I$52:$I$63))/POZICIE_INTERNE!$B$52)),0)+IFERROR(IF((EXTERNE_POZICIE!$B$53-12*('TCO TO BE- SW'!$D160-1))&gt;12,((Q$4+'TCO TO BE - HW'!Q$4)/($E$4+'TCO TO BE - HW'!$E$4)*SUM(EXTERNE_POZICIE!$M$53:$M$64)*1.23)/EXTERNE_POZICIE!$B$41*12,IF((EXTERNE_POZICIE!$B$53-12*('TCO TO BE- SW'!$D160-1))&lt;0,0,(EXTERNE_POZICIE!$B$53-12*('TCO TO BE- SW'!$D160-1))*((Q$4+'TCO TO BE - HW'!Q$4)/($E$4+'TCO TO BE - HW'!$E$4)*SUM(EXTERNE_POZICIE!$M$53:$M$64)*1.23)/EXTERNE_POZICIE!$B$53)),0)+IFERROR(SUM(#REF!)*'TCO TO BE- SW'!Q$4/'TCO TO BE- SW'!$E$4,0)</f>
        <v>0</v>
      </c>
      <c r="R170" s="565">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HW'!$E$4)*SUM(POZICIE_INTERNE!$I$52:$I$63))/POZICIE_INTERNE!$B$52)),0)+IFERROR(IF((EXTERNE_POZICIE!$B$53-12*('TCO TO BE- SW'!$D160-1))&gt;12,((R$4+'TCO TO BE - HW'!R$4)/($E$4+'TCO TO BE - HW'!$E$4)*SUM(EXTERNE_POZICIE!$M$53:$M$64)*1.23)/EXTERNE_POZICIE!$B$41*12,IF((EXTERNE_POZICIE!$B$53-12*('TCO TO BE- SW'!$D160-1))&lt;0,0,(EXTERNE_POZICIE!$B$53-12*('TCO TO BE- SW'!$D160-1))*((R$4+'TCO TO BE - HW'!R$4)/($E$4+'TCO TO BE - HW'!$E$4)*SUM(EXTERNE_POZICIE!$M$53:$M$64)*1.23)/EXTERNE_POZICIE!$B$53)),0)+IFERROR(SUM(#REF!)*'TCO TO BE- SW'!R$4/'TCO TO BE- SW'!$E$4,0)</f>
        <v>0</v>
      </c>
      <c r="S170" s="565">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HW'!$E$4)*SUM(POZICIE_INTERNE!$I$52:$I$63))/POZICIE_INTERNE!$B$52)),0)+IFERROR(IF((EXTERNE_POZICIE!$B$53-12*('TCO TO BE- SW'!$D160-1))&gt;12,((S$4+'TCO TO BE - HW'!S$4)/($E$4+'TCO TO BE - HW'!$E$4)*SUM(EXTERNE_POZICIE!$M$53:$M$64)*1.23)/EXTERNE_POZICIE!$B$41*12,IF((EXTERNE_POZICIE!$B$53-12*('TCO TO BE- SW'!$D160-1))&lt;0,0,(EXTERNE_POZICIE!$B$53-12*('TCO TO BE- SW'!$D160-1))*((S$4+'TCO TO BE - HW'!S$4)/($E$4+'TCO TO BE - HW'!$E$4)*SUM(EXTERNE_POZICIE!$M$53:$M$64)*1.23)/EXTERNE_POZICIE!$B$53)),0)+IFERROR(SUM(#REF!)*'TCO TO BE- SW'!S$4/'TCO TO BE- SW'!$E$4,0)</f>
        <v>0</v>
      </c>
      <c r="T170" s="565">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HW'!$E$4)*SUM(POZICIE_INTERNE!$I$52:$I$63))/POZICIE_INTERNE!$B$52)),0)+IFERROR(IF((EXTERNE_POZICIE!$B$53-12*('TCO TO BE- SW'!$D160-1))&gt;12,((T$4+'TCO TO BE - HW'!T$4)/($E$4+'TCO TO BE - HW'!$E$4)*SUM(EXTERNE_POZICIE!$M$53:$M$64)*1.23)/EXTERNE_POZICIE!$B$41*12,IF((EXTERNE_POZICIE!$B$53-12*('TCO TO BE- SW'!$D160-1))&lt;0,0,(EXTERNE_POZICIE!$B$53-12*('TCO TO BE- SW'!$D160-1))*((T$4+'TCO TO BE - HW'!T$4)/($E$4+'TCO TO BE - HW'!$E$4)*SUM(EXTERNE_POZICIE!$M$53:$M$64)*1.23)/EXTERNE_POZICIE!$B$53)),0)+IFERROR(SUM(#REF!)*'TCO TO BE- SW'!T$4/'TCO TO BE- SW'!$E$4,0)</f>
        <v>0</v>
      </c>
      <c r="U170" s="565">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HW'!$E$4)*SUM(POZICIE_INTERNE!$I$52:$I$63))/POZICIE_INTERNE!$B$52)),0)+IFERROR(IF((EXTERNE_POZICIE!$B$53-12*('TCO TO BE- SW'!$D160-1))&gt;12,((U$4+'TCO TO BE - HW'!U$4)/($E$4+'TCO TO BE - HW'!$E$4)*SUM(EXTERNE_POZICIE!$M$53:$M$64)*1.23)/EXTERNE_POZICIE!$B$41*12,IF((EXTERNE_POZICIE!$B$53-12*('TCO TO BE- SW'!$D160-1))&lt;0,0,(EXTERNE_POZICIE!$B$53-12*('TCO TO BE- SW'!$D160-1))*((U$4+'TCO TO BE - HW'!U$4)/($E$4+'TCO TO BE - HW'!$E$4)*SUM(EXTERNE_POZICIE!$M$53:$M$64)*1.23)/EXTERNE_POZICIE!$B$53)),0)+IFERROR(SUM(#REF!)*'TCO TO BE- SW'!U$4/'TCO TO BE- SW'!$E$4,0)</f>
        <v>0</v>
      </c>
      <c r="V170" s="565">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HW'!$E$4)*SUM(POZICIE_INTERNE!$I$52:$I$63))/POZICIE_INTERNE!$B$52)),0)+IFERROR(IF((EXTERNE_POZICIE!$B$53-12*('TCO TO BE- SW'!$D160-1))&gt;12,((V$4+'TCO TO BE - HW'!V$4)/($E$4+'TCO TO BE - HW'!$E$4)*SUM(EXTERNE_POZICIE!$M$53:$M$64)*1.23)/EXTERNE_POZICIE!$B$41*12,IF((EXTERNE_POZICIE!$B$53-12*('TCO TO BE- SW'!$D160-1))&lt;0,0,(EXTERNE_POZICIE!$B$53-12*('TCO TO BE- SW'!$D160-1))*((V$4+'TCO TO BE - HW'!V$4)/($E$4+'TCO TO BE - HW'!$E$4)*SUM(EXTERNE_POZICIE!$M$53:$M$64)*1.23)/EXTERNE_POZICIE!$B$53)),0)+IFERROR(SUM(#REF!)*'TCO TO BE- SW'!V$4/'TCO TO BE- SW'!$E$4,0)</f>
        <v>0</v>
      </c>
      <c r="W170" s="565">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HW'!$E$4)*SUM(POZICIE_INTERNE!$I$52:$I$63))/POZICIE_INTERNE!$B$52)),0)+IFERROR(IF((EXTERNE_POZICIE!$B$53-12*('TCO TO BE- SW'!$D160-1))&gt;12,((W$4+'TCO TO BE - HW'!W$4)/($E$4+'TCO TO BE - HW'!$E$4)*SUM(EXTERNE_POZICIE!$M$53:$M$64)*1.23)/EXTERNE_POZICIE!$B$41*12,IF((EXTERNE_POZICIE!$B$53-12*('TCO TO BE- SW'!$D160-1))&lt;0,0,(EXTERNE_POZICIE!$B$53-12*('TCO TO BE- SW'!$D160-1))*((W$4+'TCO TO BE - HW'!W$4)/($E$4+'TCO TO BE - HW'!$E$4)*SUM(EXTERNE_POZICIE!$M$53:$M$64)*1.23)/EXTERNE_POZICIE!$B$53)),0)+IFERROR(SUM(#REF!)*'TCO TO BE- SW'!W$4/'TCO TO BE- SW'!$E$4,0)</f>
        <v>0</v>
      </c>
      <c r="X170" s="565">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HW'!$E$4)*SUM(POZICIE_INTERNE!$I$52:$I$63))/POZICIE_INTERNE!$B$52)),0)+IFERROR(IF((EXTERNE_POZICIE!$B$53-12*('TCO TO BE- SW'!$D160-1))&gt;12,((X$4+'TCO TO BE - HW'!X$4)/($E$4+'TCO TO BE - HW'!$E$4)*SUM(EXTERNE_POZICIE!$M$53:$M$64)*1.23)/EXTERNE_POZICIE!$B$41*12,IF((EXTERNE_POZICIE!$B$53-12*('TCO TO BE- SW'!$D160-1))&lt;0,0,(EXTERNE_POZICIE!$B$53-12*('TCO TO BE- SW'!$D160-1))*((X$4+'TCO TO BE - HW'!X$4)/($E$4+'TCO TO BE - HW'!$E$4)*SUM(EXTERNE_POZICIE!$M$53:$M$64)*1.23)/EXTERNE_POZICIE!$B$53)),0)+IFERROR(SUM(#REF!)*'TCO TO BE- SW'!X$4/'TCO TO BE- SW'!$E$4,0)</f>
        <v>0</v>
      </c>
      <c r="Y170" s="565">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HW'!$E$4)*SUM(POZICIE_INTERNE!$I$52:$I$63))/POZICIE_INTERNE!$B$52)),0)+IFERROR(IF((EXTERNE_POZICIE!$B$53-12*('TCO TO BE- SW'!$D160-1))&gt;12,((Y$4+'TCO TO BE - HW'!Y$4)/($E$4+'TCO TO BE - HW'!$E$4)*SUM(EXTERNE_POZICIE!$M$53:$M$64)*1.23)/EXTERNE_POZICIE!$B$41*12,IF((EXTERNE_POZICIE!$B$53-12*('TCO TO BE- SW'!$D160-1))&lt;0,0,(EXTERNE_POZICIE!$B$53-12*('TCO TO BE- SW'!$D160-1))*((Y$4+'TCO TO BE - HW'!Y$4)/($E$4+'TCO TO BE - HW'!$E$4)*SUM(EXTERNE_POZICIE!$M$53:$M$64)*1.23)/EXTERNE_POZICIE!$B$53)),0)+IFERROR(SUM(#REF!)*'TCO TO BE- SW'!Y$4/'TCO TO BE- SW'!$E$4,0)</f>
        <v>0</v>
      </c>
      <c r="Z170" s="565">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HW'!$E$4)*SUM(POZICIE_INTERNE!$I$52:$I$63))/POZICIE_INTERNE!$B$52)),0)+IFERROR(IF((EXTERNE_POZICIE!$B$53-12*('TCO TO BE- SW'!$D160-1))&gt;12,((Z$4+'TCO TO BE - HW'!Z$4)/($E$4+'TCO TO BE - HW'!$E$4)*SUM(EXTERNE_POZICIE!$M$53:$M$64)*1.23)/EXTERNE_POZICIE!$B$41*12,IF((EXTERNE_POZICIE!$B$53-12*('TCO TO BE- SW'!$D160-1))&lt;0,0,(EXTERNE_POZICIE!$B$53-12*('TCO TO BE- SW'!$D160-1))*((Z$4+'TCO TO BE - HW'!Z$4)/($E$4+'TCO TO BE - HW'!$E$4)*SUM(EXTERNE_POZICIE!$M$53:$M$64)*1.23)/EXTERNE_POZICIE!$B$53)),0)+IFERROR(SUM(#REF!)*'TCO TO BE- SW'!Z$4/'TCO TO BE- SW'!$E$4,0)</f>
        <v>0</v>
      </c>
    </row>
    <row r="171" spans="1:26" ht="15.75" thickBot="1">
      <c r="A171" s="814" t="s">
        <v>247</v>
      </c>
      <c r="B171" s="815"/>
      <c r="C171" s="815"/>
      <c r="D171" s="75"/>
      <c r="E171" s="72">
        <f t="shared" ref="E171:Z171" si="17">SUM(E172:E191)</f>
        <v>0</v>
      </c>
      <c r="F171" s="73">
        <f t="shared" si="17"/>
        <v>0</v>
      </c>
      <c r="G171" s="73">
        <f t="shared" si="17"/>
        <v>0</v>
      </c>
      <c r="H171" s="73">
        <f t="shared" si="17"/>
        <v>0</v>
      </c>
      <c r="I171" s="73">
        <f t="shared" si="17"/>
        <v>0</v>
      </c>
      <c r="J171" s="73">
        <f t="shared" si="17"/>
        <v>0</v>
      </c>
      <c r="K171" s="73">
        <f t="shared" si="17"/>
        <v>0</v>
      </c>
      <c r="L171" s="73">
        <f t="shared" si="17"/>
        <v>0</v>
      </c>
      <c r="M171" s="73">
        <f t="shared" si="17"/>
        <v>0</v>
      </c>
      <c r="N171" s="73">
        <f t="shared" si="17"/>
        <v>0</v>
      </c>
      <c r="O171" s="73">
        <f t="shared" si="17"/>
        <v>0</v>
      </c>
      <c r="P171" s="73">
        <f t="shared" si="17"/>
        <v>0</v>
      </c>
      <c r="Q171" s="73">
        <f t="shared" si="17"/>
        <v>0</v>
      </c>
      <c r="R171" s="73">
        <f t="shared" si="17"/>
        <v>0</v>
      </c>
      <c r="S171" s="73">
        <f t="shared" si="17"/>
        <v>0</v>
      </c>
      <c r="T171" s="73">
        <f t="shared" si="17"/>
        <v>0</v>
      </c>
      <c r="U171" s="73">
        <f t="shared" si="17"/>
        <v>0</v>
      </c>
      <c r="V171" s="73">
        <f t="shared" si="17"/>
        <v>0</v>
      </c>
      <c r="W171" s="73">
        <f t="shared" si="17"/>
        <v>0</v>
      </c>
      <c r="X171" s="73">
        <f t="shared" si="17"/>
        <v>0</v>
      </c>
      <c r="Y171" s="73">
        <f t="shared" si="17"/>
        <v>0</v>
      </c>
      <c r="Z171" s="73">
        <f t="shared" si="17"/>
        <v>0</v>
      </c>
    </row>
    <row r="172" spans="1:26">
      <c r="A172" s="807" t="s">
        <v>248</v>
      </c>
      <c r="B172" s="808" t="s">
        <v>78</v>
      </c>
      <c r="C172" s="808">
        <v>633013</v>
      </c>
      <c r="D172" s="63">
        <v>1</v>
      </c>
      <c r="E172" s="60">
        <f t="shared" ref="E172:E191" si="18">SUM(F172:Z172)</f>
        <v>0</v>
      </c>
      <c r="F172" s="569">
        <v>0</v>
      </c>
      <c r="G172" s="569">
        <v>0</v>
      </c>
      <c r="H172" s="569">
        <v>0</v>
      </c>
      <c r="I172" s="569">
        <v>0</v>
      </c>
      <c r="J172" s="569">
        <v>0</v>
      </c>
      <c r="K172" s="569">
        <v>0</v>
      </c>
      <c r="L172" s="569">
        <v>0</v>
      </c>
      <c r="M172" s="569">
        <v>0</v>
      </c>
      <c r="N172" s="569">
        <v>0</v>
      </c>
      <c r="O172" s="569">
        <v>0</v>
      </c>
      <c r="P172" s="569">
        <v>0</v>
      </c>
      <c r="Q172" s="569">
        <v>0</v>
      </c>
      <c r="R172" s="569">
        <v>0</v>
      </c>
      <c r="S172" s="569">
        <v>0</v>
      </c>
      <c r="T172" s="569">
        <v>0</v>
      </c>
      <c r="U172" s="569">
        <v>0</v>
      </c>
      <c r="V172" s="569">
        <v>0</v>
      </c>
      <c r="W172" s="569">
        <v>0</v>
      </c>
      <c r="X172" s="569">
        <v>0</v>
      </c>
      <c r="Y172" s="569">
        <v>0</v>
      </c>
      <c r="Z172" s="569">
        <v>0</v>
      </c>
    </row>
    <row r="173" spans="1:26">
      <c r="A173" s="807"/>
      <c r="B173" s="808"/>
      <c r="C173" s="808"/>
      <c r="D173" s="64">
        <v>2</v>
      </c>
      <c r="E173" s="61">
        <f t="shared" si="18"/>
        <v>0</v>
      </c>
      <c r="F173" s="570">
        <v>0</v>
      </c>
      <c r="G173" s="570">
        <v>0</v>
      </c>
      <c r="H173" s="570">
        <v>0</v>
      </c>
      <c r="I173" s="570">
        <v>0</v>
      </c>
      <c r="J173" s="570">
        <v>0</v>
      </c>
      <c r="K173" s="570">
        <v>0</v>
      </c>
      <c r="L173" s="570">
        <v>0</v>
      </c>
      <c r="M173" s="570">
        <v>0</v>
      </c>
      <c r="N173" s="570">
        <v>0</v>
      </c>
      <c r="O173" s="570">
        <v>0</v>
      </c>
      <c r="P173" s="570">
        <v>0</v>
      </c>
      <c r="Q173" s="570">
        <v>0</v>
      </c>
      <c r="R173" s="570">
        <v>0</v>
      </c>
      <c r="S173" s="570">
        <v>0</v>
      </c>
      <c r="T173" s="570">
        <v>0</v>
      </c>
      <c r="U173" s="570">
        <v>0</v>
      </c>
      <c r="V173" s="570">
        <v>0</v>
      </c>
      <c r="W173" s="570">
        <v>0</v>
      </c>
      <c r="X173" s="570">
        <v>0</v>
      </c>
      <c r="Y173" s="570">
        <v>0</v>
      </c>
      <c r="Z173" s="570">
        <v>0</v>
      </c>
    </row>
    <row r="174" spans="1:26">
      <c r="A174" s="807"/>
      <c r="B174" s="808"/>
      <c r="C174" s="808"/>
      <c r="D174" s="64">
        <v>3</v>
      </c>
      <c r="E174" s="61">
        <f t="shared" si="18"/>
        <v>0</v>
      </c>
      <c r="F174" s="570">
        <v>0</v>
      </c>
      <c r="G174" s="570">
        <v>0</v>
      </c>
      <c r="H174" s="570">
        <v>0</v>
      </c>
      <c r="I174" s="570">
        <v>0</v>
      </c>
      <c r="J174" s="570">
        <v>0</v>
      </c>
      <c r="K174" s="570">
        <v>0</v>
      </c>
      <c r="L174" s="570">
        <v>0</v>
      </c>
      <c r="M174" s="570">
        <v>0</v>
      </c>
      <c r="N174" s="570">
        <v>0</v>
      </c>
      <c r="O174" s="570">
        <v>0</v>
      </c>
      <c r="P174" s="570">
        <v>0</v>
      </c>
      <c r="Q174" s="570">
        <v>0</v>
      </c>
      <c r="R174" s="570">
        <v>0</v>
      </c>
      <c r="S174" s="570">
        <v>0</v>
      </c>
      <c r="T174" s="570">
        <v>0</v>
      </c>
      <c r="U174" s="570">
        <v>0</v>
      </c>
      <c r="V174" s="570">
        <v>0</v>
      </c>
      <c r="W174" s="570">
        <v>0</v>
      </c>
      <c r="X174" s="570">
        <v>0</v>
      </c>
      <c r="Y174" s="570">
        <v>0</v>
      </c>
      <c r="Z174" s="570">
        <v>0</v>
      </c>
    </row>
    <row r="175" spans="1:26">
      <c r="A175" s="807"/>
      <c r="B175" s="808"/>
      <c r="C175" s="808"/>
      <c r="D175" s="64">
        <v>4</v>
      </c>
      <c r="E175" s="61">
        <f t="shared" si="18"/>
        <v>0</v>
      </c>
      <c r="F175" s="570">
        <v>0</v>
      </c>
      <c r="G175" s="570">
        <v>0</v>
      </c>
      <c r="H175" s="570">
        <v>0</v>
      </c>
      <c r="I175" s="570">
        <v>0</v>
      </c>
      <c r="J175" s="570">
        <v>0</v>
      </c>
      <c r="K175" s="570">
        <v>0</v>
      </c>
      <c r="L175" s="570">
        <v>0</v>
      </c>
      <c r="M175" s="570">
        <v>0</v>
      </c>
      <c r="N175" s="570">
        <v>0</v>
      </c>
      <c r="O175" s="570">
        <v>0</v>
      </c>
      <c r="P175" s="570">
        <v>0</v>
      </c>
      <c r="Q175" s="570">
        <v>0</v>
      </c>
      <c r="R175" s="570">
        <v>0</v>
      </c>
      <c r="S175" s="570">
        <v>0</v>
      </c>
      <c r="T175" s="570">
        <v>0</v>
      </c>
      <c r="U175" s="570">
        <v>0</v>
      </c>
      <c r="V175" s="570">
        <v>0</v>
      </c>
      <c r="W175" s="570">
        <v>0</v>
      </c>
      <c r="X175" s="570">
        <v>0</v>
      </c>
      <c r="Y175" s="570">
        <v>0</v>
      </c>
      <c r="Z175" s="570">
        <v>0</v>
      </c>
    </row>
    <row r="176" spans="1:26">
      <c r="A176" s="807"/>
      <c r="B176" s="808"/>
      <c r="C176" s="808"/>
      <c r="D176" s="64">
        <v>5</v>
      </c>
      <c r="E176" s="61">
        <f t="shared" si="18"/>
        <v>0</v>
      </c>
      <c r="F176" s="570">
        <v>0</v>
      </c>
      <c r="G176" s="570">
        <v>0</v>
      </c>
      <c r="H176" s="570">
        <v>0</v>
      </c>
      <c r="I176" s="570">
        <v>0</v>
      </c>
      <c r="J176" s="570">
        <v>0</v>
      </c>
      <c r="K176" s="570">
        <v>0</v>
      </c>
      <c r="L176" s="570">
        <v>0</v>
      </c>
      <c r="M176" s="570">
        <v>0</v>
      </c>
      <c r="N176" s="570">
        <v>0</v>
      </c>
      <c r="O176" s="570">
        <v>0</v>
      </c>
      <c r="P176" s="570">
        <v>0</v>
      </c>
      <c r="Q176" s="570">
        <v>0</v>
      </c>
      <c r="R176" s="570">
        <v>0</v>
      </c>
      <c r="S176" s="570">
        <v>0</v>
      </c>
      <c r="T176" s="570">
        <v>0</v>
      </c>
      <c r="U176" s="570">
        <v>0</v>
      </c>
      <c r="V176" s="570">
        <v>0</v>
      </c>
      <c r="W176" s="570">
        <v>0</v>
      </c>
      <c r="X176" s="570">
        <v>0</v>
      </c>
      <c r="Y176" s="570">
        <v>0</v>
      </c>
      <c r="Z176" s="570">
        <v>0</v>
      </c>
    </row>
    <row r="177" spans="1:26">
      <c r="A177" s="807"/>
      <c r="B177" s="808"/>
      <c r="C177" s="808"/>
      <c r="D177" s="64">
        <v>6</v>
      </c>
      <c r="E177" s="61">
        <f t="shared" si="18"/>
        <v>0</v>
      </c>
      <c r="F177" s="570">
        <v>0</v>
      </c>
      <c r="G177" s="570">
        <v>0</v>
      </c>
      <c r="H177" s="570">
        <v>0</v>
      </c>
      <c r="I177" s="570">
        <v>0</v>
      </c>
      <c r="J177" s="570">
        <v>0</v>
      </c>
      <c r="K177" s="570">
        <v>0</v>
      </c>
      <c r="L177" s="570">
        <v>0</v>
      </c>
      <c r="M177" s="570">
        <v>0</v>
      </c>
      <c r="N177" s="570">
        <v>0</v>
      </c>
      <c r="O177" s="570">
        <v>0</v>
      </c>
      <c r="P177" s="570">
        <v>0</v>
      </c>
      <c r="Q177" s="570">
        <v>0</v>
      </c>
      <c r="R177" s="570">
        <v>0</v>
      </c>
      <c r="S177" s="570">
        <v>0</v>
      </c>
      <c r="T177" s="570">
        <v>0</v>
      </c>
      <c r="U177" s="570">
        <v>0</v>
      </c>
      <c r="V177" s="570">
        <v>0</v>
      </c>
      <c r="W177" s="570">
        <v>0</v>
      </c>
      <c r="X177" s="570">
        <v>0</v>
      </c>
      <c r="Y177" s="570">
        <v>0</v>
      </c>
      <c r="Z177" s="570">
        <v>0</v>
      </c>
    </row>
    <row r="178" spans="1:26">
      <c r="A178" s="807"/>
      <c r="B178" s="808"/>
      <c r="C178" s="808"/>
      <c r="D178" s="64">
        <v>7</v>
      </c>
      <c r="E178" s="61">
        <f t="shared" si="18"/>
        <v>0</v>
      </c>
      <c r="F178" s="570">
        <v>0</v>
      </c>
      <c r="G178" s="570">
        <v>0</v>
      </c>
      <c r="H178" s="570">
        <v>0</v>
      </c>
      <c r="I178" s="570">
        <v>0</v>
      </c>
      <c r="J178" s="570">
        <v>0</v>
      </c>
      <c r="K178" s="570">
        <v>0</v>
      </c>
      <c r="L178" s="570">
        <v>0</v>
      </c>
      <c r="M178" s="570">
        <v>0</v>
      </c>
      <c r="N178" s="570">
        <v>0</v>
      </c>
      <c r="O178" s="570">
        <v>0</v>
      </c>
      <c r="P178" s="570">
        <v>0</v>
      </c>
      <c r="Q178" s="570">
        <v>0</v>
      </c>
      <c r="R178" s="570">
        <v>0</v>
      </c>
      <c r="S178" s="570">
        <v>0</v>
      </c>
      <c r="T178" s="570">
        <v>0</v>
      </c>
      <c r="U178" s="570">
        <v>0</v>
      </c>
      <c r="V178" s="570">
        <v>0</v>
      </c>
      <c r="W178" s="570">
        <v>0</v>
      </c>
      <c r="X178" s="570">
        <v>0</v>
      </c>
      <c r="Y178" s="570">
        <v>0</v>
      </c>
      <c r="Z178" s="570">
        <v>0</v>
      </c>
    </row>
    <row r="179" spans="1:26">
      <c r="A179" s="807"/>
      <c r="B179" s="808"/>
      <c r="C179" s="808"/>
      <c r="D179" s="64">
        <v>8</v>
      </c>
      <c r="E179" s="61">
        <f t="shared" si="18"/>
        <v>0</v>
      </c>
      <c r="F179" s="570">
        <v>0</v>
      </c>
      <c r="G179" s="570">
        <v>0</v>
      </c>
      <c r="H179" s="570">
        <v>0</v>
      </c>
      <c r="I179" s="570">
        <v>0</v>
      </c>
      <c r="J179" s="570">
        <v>0</v>
      </c>
      <c r="K179" s="570">
        <v>0</v>
      </c>
      <c r="L179" s="570">
        <v>0</v>
      </c>
      <c r="M179" s="570">
        <v>0</v>
      </c>
      <c r="N179" s="570">
        <v>0</v>
      </c>
      <c r="O179" s="570">
        <v>0</v>
      </c>
      <c r="P179" s="570">
        <v>0</v>
      </c>
      <c r="Q179" s="570">
        <v>0</v>
      </c>
      <c r="R179" s="570">
        <v>0</v>
      </c>
      <c r="S179" s="570">
        <v>0</v>
      </c>
      <c r="T179" s="570">
        <v>0</v>
      </c>
      <c r="U179" s="570">
        <v>0</v>
      </c>
      <c r="V179" s="570">
        <v>0</v>
      </c>
      <c r="W179" s="570">
        <v>0</v>
      </c>
      <c r="X179" s="570">
        <v>0</v>
      </c>
      <c r="Y179" s="570">
        <v>0</v>
      </c>
      <c r="Z179" s="570">
        <v>0</v>
      </c>
    </row>
    <row r="180" spans="1:26">
      <c r="A180" s="807"/>
      <c r="B180" s="808"/>
      <c r="C180" s="808"/>
      <c r="D180" s="64">
        <v>9</v>
      </c>
      <c r="E180" s="61">
        <f t="shared" si="18"/>
        <v>0</v>
      </c>
      <c r="F180" s="570">
        <v>0</v>
      </c>
      <c r="G180" s="570">
        <v>0</v>
      </c>
      <c r="H180" s="570">
        <v>0</v>
      </c>
      <c r="I180" s="570">
        <v>0</v>
      </c>
      <c r="J180" s="570">
        <v>0</v>
      </c>
      <c r="K180" s="570">
        <v>0</v>
      </c>
      <c r="L180" s="570">
        <v>0</v>
      </c>
      <c r="M180" s="570">
        <v>0</v>
      </c>
      <c r="N180" s="570">
        <v>0</v>
      </c>
      <c r="O180" s="570">
        <v>0</v>
      </c>
      <c r="P180" s="570">
        <v>0</v>
      </c>
      <c r="Q180" s="570">
        <v>0</v>
      </c>
      <c r="R180" s="570">
        <v>0</v>
      </c>
      <c r="S180" s="570">
        <v>0</v>
      </c>
      <c r="T180" s="570">
        <v>0</v>
      </c>
      <c r="U180" s="570">
        <v>0</v>
      </c>
      <c r="V180" s="570">
        <v>0</v>
      </c>
      <c r="W180" s="570">
        <v>0</v>
      </c>
      <c r="X180" s="570">
        <v>0</v>
      </c>
      <c r="Y180" s="570">
        <v>0</v>
      </c>
      <c r="Z180" s="570">
        <v>0</v>
      </c>
    </row>
    <row r="181" spans="1:26" ht="15.75" thickBot="1">
      <c r="A181" s="807"/>
      <c r="B181" s="808"/>
      <c r="C181" s="808"/>
      <c r="D181" s="65">
        <v>10</v>
      </c>
      <c r="E181" s="62">
        <f t="shared" si="18"/>
        <v>0</v>
      </c>
      <c r="F181" s="571">
        <v>0</v>
      </c>
      <c r="G181" s="571">
        <v>0</v>
      </c>
      <c r="H181" s="571">
        <v>0</v>
      </c>
      <c r="I181" s="571">
        <v>0</v>
      </c>
      <c r="J181" s="571">
        <v>0</v>
      </c>
      <c r="K181" s="571">
        <v>0</v>
      </c>
      <c r="L181" s="571">
        <v>0</v>
      </c>
      <c r="M181" s="571">
        <v>0</v>
      </c>
      <c r="N181" s="571">
        <v>0</v>
      </c>
      <c r="O181" s="571">
        <v>0</v>
      </c>
      <c r="P181" s="571">
        <v>0</v>
      </c>
      <c r="Q181" s="571">
        <v>0</v>
      </c>
      <c r="R181" s="571">
        <v>0</v>
      </c>
      <c r="S181" s="571">
        <v>0</v>
      </c>
      <c r="T181" s="571">
        <v>0</v>
      </c>
      <c r="U181" s="571">
        <v>0</v>
      </c>
      <c r="V181" s="571">
        <v>0</v>
      </c>
      <c r="W181" s="571">
        <v>0</v>
      </c>
      <c r="X181" s="571">
        <v>0</v>
      </c>
      <c r="Y181" s="571">
        <v>0</v>
      </c>
      <c r="Z181" s="571">
        <v>0</v>
      </c>
    </row>
    <row r="182" spans="1:26">
      <c r="A182" s="807" t="s">
        <v>527</v>
      </c>
      <c r="B182" s="808"/>
      <c r="C182" s="808">
        <v>637031</v>
      </c>
      <c r="D182" s="63">
        <v>1</v>
      </c>
      <c r="E182" s="61">
        <f t="shared" si="18"/>
        <v>0</v>
      </c>
      <c r="F182" s="569">
        <v>0</v>
      </c>
      <c r="G182" s="569">
        <v>0</v>
      </c>
      <c r="H182" s="569">
        <v>0</v>
      </c>
      <c r="I182" s="569">
        <v>0</v>
      </c>
      <c r="J182" s="569">
        <v>0</v>
      </c>
      <c r="K182" s="569">
        <v>0</v>
      </c>
      <c r="L182" s="569">
        <v>0</v>
      </c>
      <c r="M182" s="569">
        <v>0</v>
      </c>
      <c r="N182" s="569">
        <v>0</v>
      </c>
      <c r="O182" s="569">
        <v>0</v>
      </c>
      <c r="P182" s="569">
        <v>0</v>
      </c>
      <c r="Q182" s="569">
        <v>0</v>
      </c>
      <c r="R182" s="569">
        <v>0</v>
      </c>
      <c r="S182" s="569">
        <v>0</v>
      </c>
      <c r="T182" s="569">
        <v>0</v>
      </c>
      <c r="U182" s="569">
        <v>0</v>
      </c>
      <c r="V182" s="569">
        <v>0</v>
      </c>
      <c r="W182" s="569">
        <v>0</v>
      </c>
      <c r="X182" s="569">
        <v>0</v>
      </c>
      <c r="Y182" s="569">
        <v>0</v>
      </c>
      <c r="Z182" s="569">
        <v>0</v>
      </c>
    </row>
    <row r="183" spans="1:26">
      <c r="A183" s="807"/>
      <c r="B183" s="808"/>
      <c r="C183" s="808"/>
      <c r="D183" s="64">
        <v>2</v>
      </c>
      <c r="E183" s="61">
        <f t="shared" si="18"/>
        <v>0</v>
      </c>
      <c r="F183" s="570">
        <v>0</v>
      </c>
      <c r="G183" s="570">
        <v>0</v>
      </c>
      <c r="H183" s="570">
        <v>0</v>
      </c>
      <c r="I183" s="570">
        <v>0</v>
      </c>
      <c r="J183" s="570">
        <v>0</v>
      </c>
      <c r="K183" s="570">
        <v>0</v>
      </c>
      <c r="L183" s="570">
        <v>0</v>
      </c>
      <c r="M183" s="570">
        <v>0</v>
      </c>
      <c r="N183" s="570">
        <v>0</v>
      </c>
      <c r="O183" s="570">
        <v>0</v>
      </c>
      <c r="P183" s="570">
        <v>0</v>
      </c>
      <c r="Q183" s="570">
        <v>0</v>
      </c>
      <c r="R183" s="570">
        <v>0</v>
      </c>
      <c r="S183" s="570">
        <v>0</v>
      </c>
      <c r="T183" s="570">
        <v>0</v>
      </c>
      <c r="U183" s="570">
        <v>0</v>
      </c>
      <c r="V183" s="570">
        <v>0</v>
      </c>
      <c r="W183" s="570">
        <v>0</v>
      </c>
      <c r="X183" s="570">
        <v>0</v>
      </c>
      <c r="Y183" s="570">
        <v>0</v>
      </c>
      <c r="Z183" s="570">
        <v>0</v>
      </c>
    </row>
    <row r="184" spans="1:26">
      <c r="A184" s="807"/>
      <c r="B184" s="808"/>
      <c r="C184" s="808"/>
      <c r="D184" s="64">
        <v>3</v>
      </c>
      <c r="E184" s="61">
        <f t="shared" si="18"/>
        <v>0</v>
      </c>
      <c r="F184" s="570">
        <v>0</v>
      </c>
      <c r="G184" s="570">
        <v>0</v>
      </c>
      <c r="H184" s="570">
        <v>0</v>
      </c>
      <c r="I184" s="570">
        <v>0</v>
      </c>
      <c r="J184" s="570">
        <v>0</v>
      </c>
      <c r="K184" s="570">
        <v>0</v>
      </c>
      <c r="L184" s="570">
        <v>0</v>
      </c>
      <c r="M184" s="570">
        <v>0</v>
      </c>
      <c r="N184" s="570">
        <v>0</v>
      </c>
      <c r="O184" s="570">
        <v>0</v>
      </c>
      <c r="P184" s="570">
        <v>0</v>
      </c>
      <c r="Q184" s="570">
        <v>0</v>
      </c>
      <c r="R184" s="570">
        <v>0</v>
      </c>
      <c r="S184" s="570">
        <v>0</v>
      </c>
      <c r="T184" s="570">
        <v>0</v>
      </c>
      <c r="U184" s="570">
        <v>0</v>
      </c>
      <c r="V184" s="570">
        <v>0</v>
      </c>
      <c r="W184" s="570">
        <v>0</v>
      </c>
      <c r="X184" s="570">
        <v>0</v>
      </c>
      <c r="Y184" s="570">
        <v>0</v>
      </c>
      <c r="Z184" s="570">
        <v>0</v>
      </c>
    </row>
    <row r="185" spans="1:26">
      <c r="A185" s="807"/>
      <c r="B185" s="808"/>
      <c r="C185" s="808"/>
      <c r="D185" s="64">
        <v>4</v>
      </c>
      <c r="E185" s="61">
        <f t="shared" si="18"/>
        <v>0</v>
      </c>
      <c r="F185" s="570">
        <v>0</v>
      </c>
      <c r="G185" s="570">
        <v>0</v>
      </c>
      <c r="H185" s="570">
        <v>0</v>
      </c>
      <c r="I185" s="570">
        <v>0</v>
      </c>
      <c r="J185" s="570">
        <v>0</v>
      </c>
      <c r="K185" s="570">
        <v>0</v>
      </c>
      <c r="L185" s="570">
        <v>0</v>
      </c>
      <c r="M185" s="570">
        <v>0</v>
      </c>
      <c r="N185" s="570">
        <v>0</v>
      </c>
      <c r="O185" s="570">
        <v>0</v>
      </c>
      <c r="P185" s="570">
        <v>0</v>
      </c>
      <c r="Q185" s="570">
        <v>0</v>
      </c>
      <c r="R185" s="570">
        <v>0</v>
      </c>
      <c r="S185" s="570">
        <v>0</v>
      </c>
      <c r="T185" s="570">
        <v>0</v>
      </c>
      <c r="U185" s="570">
        <v>0</v>
      </c>
      <c r="V185" s="570">
        <v>0</v>
      </c>
      <c r="W185" s="570">
        <v>0</v>
      </c>
      <c r="X185" s="570">
        <v>0</v>
      </c>
      <c r="Y185" s="570">
        <v>0</v>
      </c>
      <c r="Z185" s="570">
        <v>0</v>
      </c>
    </row>
    <row r="186" spans="1:26">
      <c r="A186" s="807"/>
      <c r="B186" s="808"/>
      <c r="C186" s="808"/>
      <c r="D186" s="64">
        <v>5</v>
      </c>
      <c r="E186" s="61">
        <f t="shared" si="18"/>
        <v>0</v>
      </c>
      <c r="F186" s="570">
        <v>0</v>
      </c>
      <c r="G186" s="570">
        <v>0</v>
      </c>
      <c r="H186" s="570">
        <v>0</v>
      </c>
      <c r="I186" s="570">
        <v>0</v>
      </c>
      <c r="J186" s="570">
        <v>0</v>
      </c>
      <c r="K186" s="570">
        <v>0</v>
      </c>
      <c r="L186" s="570">
        <v>0</v>
      </c>
      <c r="M186" s="570">
        <v>0</v>
      </c>
      <c r="N186" s="570">
        <v>0</v>
      </c>
      <c r="O186" s="570">
        <v>0</v>
      </c>
      <c r="P186" s="570">
        <v>0</v>
      </c>
      <c r="Q186" s="570">
        <v>0</v>
      </c>
      <c r="R186" s="570">
        <v>0</v>
      </c>
      <c r="S186" s="570">
        <v>0</v>
      </c>
      <c r="T186" s="570">
        <v>0</v>
      </c>
      <c r="U186" s="570">
        <v>0</v>
      </c>
      <c r="V186" s="570">
        <v>0</v>
      </c>
      <c r="W186" s="570">
        <v>0</v>
      </c>
      <c r="X186" s="570">
        <v>0</v>
      </c>
      <c r="Y186" s="570">
        <v>0</v>
      </c>
      <c r="Z186" s="570">
        <v>0</v>
      </c>
    </row>
    <row r="187" spans="1:26">
      <c r="A187" s="807"/>
      <c r="B187" s="808"/>
      <c r="C187" s="808"/>
      <c r="D187" s="64">
        <v>6</v>
      </c>
      <c r="E187" s="61">
        <f t="shared" si="18"/>
        <v>0</v>
      </c>
      <c r="F187" s="570">
        <v>0</v>
      </c>
      <c r="G187" s="570">
        <v>0</v>
      </c>
      <c r="H187" s="570">
        <v>0</v>
      </c>
      <c r="I187" s="570">
        <v>0</v>
      </c>
      <c r="J187" s="570">
        <v>0</v>
      </c>
      <c r="K187" s="570">
        <v>0</v>
      </c>
      <c r="L187" s="570">
        <v>0</v>
      </c>
      <c r="M187" s="570">
        <v>0</v>
      </c>
      <c r="N187" s="570">
        <v>0</v>
      </c>
      <c r="O187" s="570">
        <v>0</v>
      </c>
      <c r="P187" s="570">
        <v>0</v>
      </c>
      <c r="Q187" s="570">
        <v>0</v>
      </c>
      <c r="R187" s="570">
        <v>0</v>
      </c>
      <c r="S187" s="570">
        <v>0</v>
      </c>
      <c r="T187" s="570">
        <v>0</v>
      </c>
      <c r="U187" s="570">
        <v>0</v>
      </c>
      <c r="V187" s="570">
        <v>0</v>
      </c>
      <c r="W187" s="570">
        <v>0</v>
      </c>
      <c r="X187" s="570">
        <v>0</v>
      </c>
      <c r="Y187" s="570">
        <v>0</v>
      </c>
      <c r="Z187" s="570">
        <v>0</v>
      </c>
    </row>
    <row r="188" spans="1:26">
      <c r="A188" s="807"/>
      <c r="B188" s="808"/>
      <c r="C188" s="808"/>
      <c r="D188" s="64">
        <v>7</v>
      </c>
      <c r="E188" s="61">
        <f t="shared" si="18"/>
        <v>0</v>
      </c>
      <c r="F188" s="570">
        <v>0</v>
      </c>
      <c r="G188" s="570">
        <v>0</v>
      </c>
      <c r="H188" s="570">
        <v>0</v>
      </c>
      <c r="I188" s="570">
        <v>0</v>
      </c>
      <c r="J188" s="570">
        <v>0</v>
      </c>
      <c r="K188" s="570">
        <v>0</v>
      </c>
      <c r="L188" s="570">
        <v>0</v>
      </c>
      <c r="M188" s="570">
        <v>0</v>
      </c>
      <c r="N188" s="570">
        <v>0</v>
      </c>
      <c r="O188" s="570">
        <v>0</v>
      </c>
      <c r="P188" s="570">
        <v>0</v>
      </c>
      <c r="Q188" s="570">
        <v>0</v>
      </c>
      <c r="R188" s="570">
        <v>0</v>
      </c>
      <c r="S188" s="570">
        <v>0</v>
      </c>
      <c r="T188" s="570">
        <v>0</v>
      </c>
      <c r="U188" s="570">
        <v>0</v>
      </c>
      <c r="V188" s="570">
        <v>0</v>
      </c>
      <c r="W188" s="570">
        <v>0</v>
      </c>
      <c r="X188" s="570">
        <v>0</v>
      </c>
      <c r="Y188" s="570">
        <v>0</v>
      </c>
      <c r="Z188" s="570">
        <v>0</v>
      </c>
    </row>
    <row r="189" spans="1:26">
      <c r="A189" s="807"/>
      <c r="B189" s="808"/>
      <c r="C189" s="808"/>
      <c r="D189" s="64">
        <v>8</v>
      </c>
      <c r="E189" s="61">
        <f t="shared" si="18"/>
        <v>0</v>
      </c>
      <c r="F189" s="570">
        <v>0</v>
      </c>
      <c r="G189" s="570">
        <v>0</v>
      </c>
      <c r="H189" s="570">
        <v>0</v>
      </c>
      <c r="I189" s="570">
        <v>0</v>
      </c>
      <c r="J189" s="570">
        <v>0</v>
      </c>
      <c r="K189" s="570">
        <v>0</v>
      </c>
      <c r="L189" s="570">
        <v>0</v>
      </c>
      <c r="M189" s="570">
        <v>0</v>
      </c>
      <c r="N189" s="570">
        <v>0</v>
      </c>
      <c r="O189" s="570">
        <v>0</v>
      </c>
      <c r="P189" s="570">
        <v>0</v>
      </c>
      <c r="Q189" s="570">
        <v>0</v>
      </c>
      <c r="R189" s="570">
        <v>0</v>
      </c>
      <c r="S189" s="570">
        <v>0</v>
      </c>
      <c r="T189" s="570">
        <v>0</v>
      </c>
      <c r="U189" s="570">
        <v>0</v>
      </c>
      <c r="V189" s="570">
        <v>0</v>
      </c>
      <c r="W189" s="570">
        <v>0</v>
      </c>
      <c r="X189" s="570">
        <v>0</v>
      </c>
      <c r="Y189" s="570">
        <v>0</v>
      </c>
      <c r="Z189" s="570">
        <v>0</v>
      </c>
    </row>
    <row r="190" spans="1:26">
      <c r="A190" s="807"/>
      <c r="B190" s="808"/>
      <c r="C190" s="808"/>
      <c r="D190" s="64">
        <v>9</v>
      </c>
      <c r="E190" s="61">
        <f t="shared" si="18"/>
        <v>0</v>
      </c>
      <c r="F190" s="570">
        <v>0</v>
      </c>
      <c r="G190" s="570">
        <v>0</v>
      </c>
      <c r="H190" s="570">
        <v>0</v>
      </c>
      <c r="I190" s="570">
        <v>0</v>
      </c>
      <c r="J190" s="570">
        <v>0</v>
      </c>
      <c r="K190" s="570">
        <v>0</v>
      </c>
      <c r="L190" s="570">
        <v>0</v>
      </c>
      <c r="M190" s="570">
        <v>0</v>
      </c>
      <c r="N190" s="570">
        <v>0</v>
      </c>
      <c r="O190" s="570">
        <v>0</v>
      </c>
      <c r="P190" s="570">
        <v>0</v>
      </c>
      <c r="Q190" s="570">
        <v>0</v>
      </c>
      <c r="R190" s="570">
        <v>0</v>
      </c>
      <c r="S190" s="570">
        <v>0</v>
      </c>
      <c r="T190" s="570">
        <v>0</v>
      </c>
      <c r="U190" s="570">
        <v>0</v>
      </c>
      <c r="V190" s="570">
        <v>0</v>
      </c>
      <c r="W190" s="570">
        <v>0</v>
      </c>
      <c r="X190" s="570">
        <v>0</v>
      </c>
      <c r="Y190" s="570">
        <v>0</v>
      </c>
      <c r="Z190" s="570">
        <v>0</v>
      </c>
    </row>
    <row r="191" spans="1:26" ht="15.75" thickBot="1">
      <c r="A191" s="807"/>
      <c r="B191" s="808"/>
      <c r="C191" s="808"/>
      <c r="D191" s="65">
        <v>10</v>
      </c>
      <c r="E191" s="62">
        <f t="shared" si="18"/>
        <v>0</v>
      </c>
      <c r="F191" s="571">
        <v>0</v>
      </c>
      <c r="G191" s="571">
        <v>0</v>
      </c>
      <c r="H191" s="571">
        <v>0</v>
      </c>
      <c r="I191" s="571">
        <v>0</v>
      </c>
      <c r="J191" s="571">
        <v>0</v>
      </c>
      <c r="K191" s="571">
        <v>0</v>
      </c>
      <c r="L191" s="571">
        <v>0</v>
      </c>
      <c r="M191" s="571">
        <v>0</v>
      </c>
      <c r="N191" s="571">
        <v>0</v>
      </c>
      <c r="O191" s="571">
        <v>0</v>
      </c>
      <c r="P191" s="571">
        <v>0</v>
      </c>
      <c r="Q191" s="571">
        <v>0</v>
      </c>
      <c r="R191" s="571">
        <v>0</v>
      </c>
      <c r="S191" s="571">
        <v>0</v>
      </c>
      <c r="T191" s="571">
        <v>0</v>
      </c>
      <c r="U191" s="571">
        <v>0</v>
      </c>
      <c r="V191" s="571">
        <v>0</v>
      </c>
      <c r="W191" s="571">
        <v>0</v>
      </c>
      <c r="X191" s="571">
        <v>0</v>
      </c>
      <c r="Y191" s="571">
        <v>0</v>
      </c>
      <c r="Z191" s="571">
        <v>0</v>
      </c>
    </row>
  </sheetData>
  <mergeCells count="60">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 ref="A171:C171"/>
    <mergeCell ref="A172:A181"/>
    <mergeCell ref="B172:B181"/>
    <mergeCell ref="C172:C181"/>
    <mergeCell ref="A182:A191"/>
    <mergeCell ref="B182:B191"/>
    <mergeCell ref="C182:C191"/>
    <mergeCell ref="A67:A76"/>
    <mergeCell ref="B67:B76"/>
    <mergeCell ref="A26:A35"/>
    <mergeCell ref="B26:B35"/>
    <mergeCell ref="C26:C35"/>
    <mergeCell ref="A37:A46"/>
    <mergeCell ref="B37:B46"/>
    <mergeCell ref="C37:C46"/>
    <mergeCell ref="C67:C76"/>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161:A170"/>
    <mergeCell ref="B161:B170"/>
    <mergeCell ref="C161:C170"/>
    <mergeCell ref="A140:A149"/>
    <mergeCell ref="B140:B149"/>
    <mergeCell ref="A151:A160"/>
    <mergeCell ref="B151:B160"/>
    <mergeCell ref="C151:C160"/>
    <mergeCell ref="C140:C149"/>
    <mergeCell ref="A120:A129"/>
    <mergeCell ref="B120:B129"/>
    <mergeCell ref="C120:C129"/>
    <mergeCell ref="A130:A139"/>
    <mergeCell ref="B130:B139"/>
    <mergeCell ref="C130:C139"/>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3">
    <tabColor rgb="FFFFFF00"/>
    <outlinePr summaryBelow="0" summaryRight="0"/>
  </sheetPr>
  <dimension ref="A1:AB105"/>
  <sheetViews>
    <sheetView zoomScale="70" zoomScaleNormal="70" workbookViewId="0">
      <pane ySplit="3" topLeftCell="A72" activePane="bottomLeft" state="frozen"/>
      <selection activeCell="G18" sqref="G18"/>
      <selection pane="bottomLeft" activeCell="F18" sqref="F18"/>
    </sheetView>
  </sheetViews>
  <sheetFormatPr defaultColWidth="8.85546875" defaultRowHeight="15" outlineLevelRow="1" outlineLevelCol="1"/>
  <cols>
    <col min="1" max="1" width="22.42578125" customWidth="1"/>
    <col min="2" max="2" width="23.28515625" customWidth="1"/>
    <col min="3" max="3" width="22.42578125" customWidth="1"/>
    <col min="4" max="4" width="8.85546875" style="197"/>
    <col min="5" max="5" width="17.85546875" customWidth="1"/>
    <col min="6" max="25" width="18.7109375" customWidth="1" outlineLevel="1"/>
    <col min="26" max="26" width="18.7109375" customWidth="1"/>
    <col min="28" max="28" width="10.7109375" bestFit="1" customWidth="1"/>
  </cols>
  <sheetData>
    <row r="1" spans="1:26" ht="28.5">
      <c r="A1" s="823"/>
      <c r="B1" s="823"/>
      <c r="C1" s="823"/>
      <c r="D1" s="823"/>
      <c r="F1" s="822" t="s">
        <v>294</v>
      </c>
      <c r="G1" s="822"/>
      <c r="H1" s="822"/>
      <c r="I1" s="822"/>
      <c r="J1" s="822"/>
      <c r="K1" s="822"/>
      <c r="L1" s="822"/>
      <c r="M1" s="822"/>
      <c r="N1" s="822"/>
      <c r="O1" s="822"/>
      <c r="P1" s="822"/>
      <c r="Q1" s="822"/>
      <c r="R1" s="822"/>
      <c r="S1" s="822"/>
      <c r="T1" s="822"/>
      <c r="U1" s="822"/>
      <c r="V1" s="822"/>
      <c r="W1" s="822"/>
      <c r="X1" s="822"/>
      <c r="Y1" s="822"/>
      <c r="Z1" s="822"/>
    </row>
    <row r="2" spans="1:26" ht="36" customHeight="1" thickBot="1">
      <c r="A2" s="809" t="s">
        <v>97</v>
      </c>
      <c r="B2" s="809"/>
      <c r="C2" s="809"/>
      <c r="D2" s="810"/>
      <c r="E2" s="66" t="s">
        <v>35</v>
      </c>
      <c r="F2" s="561" t="str">
        <f>MODULY_CBA!B3</f>
        <v>Distribučné služby – poskytovanie údajov</v>
      </c>
      <c r="G2" s="561" t="str">
        <f>MODULY_CBA!$B4</f>
        <v>Prehliadanie údajov (koncová služba) – základ</v>
      </c>
      <c r="H2" s="561" t="str">
        <f>MODULY_CBA!$B5</f>
        <v>Služba požiadaviek na 3D mapovanie (koncová služba)</v>
      </c>
      <c r="I2" s="561" t="str">
        <f>MODULY_CBA!$B6</f>
        <v>Interné služby – automatizovaná správa údajov (základ)</v>
      </c>
      <c r="J2" s="561" t="str">
        <f>MODULY_CBA!$B7</f>
        <v>Distribučné služby – rozšírenie o 3D vektor LOD2.x</v>
      </c>
      <c r="K2" s="561" t="str">
        <f>MODULY_CBA!$B8</f>
        <v>Prehliadanie 3D údajov + základné analýzy (koncová služba)</v>
      </c>
      <c r="L2" s="561" t="str">
        <f>MODULY_CBA!$B9</f>
        <v>Online vytváranie a dopĺňanie 3D údajov (koncová služba)</v>
      </c>
      <c r="M2" s="561" t="str">
        <f>MODULY_CBA!$B10</f>
        <v>Validácia a zápis do databázy (autorizované údaje)</v>
      </c>
      <c r="N2" s="561" t="str">
        <f>MODULY_CBA!$B11</f>
        <v>Podpora stavebného konania (DOK) – koncová služba</v>
      </c>
      <c r="O2" s="561" t="str">
        <f>MODULY_CBA!$B12</f>
        <v>Vloženie porealizačných údajov nových stavieb</v>
      </c>
      <c r="P2" s="561" t="str">
        <f>MODULY_CBA!$B13</f>
        <v>Rozšírenie interných funkcií pre katalóg a publikovanie</v>
      </c>
      <c r="Q2" s="561" t="str">
        <f>MODULY_CBA!$B14</f>
        <v>Rozšírenie správy používateľov a prístupov (funkčne)</v>
      </c>
      <c r="R2" s="561" t="str">
        <f>MODULY_CBA!$B15</f>
        <v>Kvalita, konzistencia, verzovanie (funkčné prvky)</v>
      </c>
      <c r="S2" s="561" t="str">
        <f>MODULY_CBA!$B16</f>
        <v>Distribúcia – škálovanie a automatizácia</v>
      </c>
      <c r="T2" s="561" t="str">
        <f>MODULY_CBA!$B17</f>
        <v>Prehliadanie a analýzy – pokročilé</v>
      </c>
      <c r="U2" s="561" t="str">
        <f>MODULY_CBA!$B18</f>
        <v>Online tvorba a import – škálovanie</v>
      </c>
      <c r="V2" s="561" t="str">
        <f>MODULY_CBA!$B19</f>
        <v>Podpora stavebného konania – integrácie a audit</v>
      </c>
      <c r="W2" s="561" t="str">
        <f>MODULY_CBA!$B20</f>
        <v>Automatizovaná správa údajov – metadáta, indexácia, archív</v>
      </c>
      <c r="X2" s="561" t="str">
        <f>MODULY_CBA!$B21</f>
        <v>Plánovanie zberu údajov (interná služba)</v>
      </c>
      <c r="Y2" s="561" t="str">
        <f>MODULY_CBA!$B22</f>
        <v>Reporty a exporty pre riadenie (funkčne)</v>
      </c>
      <c r="Z2" s="561">
        <f>MODULY_CBA!$B23</f>
        <v>0</v>
      </c>
    </row>
    <row r="3" spans="1:26" ht="15.75" thickBot="1">
      <c r="A3" s="36" t="s">
        <v>0</v>
      </c>
      <c r="B3" s="70" t="s">
        <v>75</v>
      </c>
      <c r="C3" s="70" t="s">
        <v>74</v>
      </c>
      <c r="D3" s="157" t="s">
        <v>23</v>
      </c>
      <c r="E3" s="17"/>
      <c r="F3" s="17"/>
      <c r="G3" s="17"/>
      <c r="H3" s="17"/>
      <c r="I3" s="17"/>
      <c r="J3" s="17"/>
      <c r="K3" s="17"/>
      <c r="L3" s="17"/>
      <c r="M3" s="17"/>
      <c r="N3" s="17"/>
      <c r="O3" s="17"/>
      <c r="P3" s="17"/>
      <c r="Q3" s="17"/>
      <c r="R3" s="17"/>
      <c r="S3" s="17"/>
      <c r="T3" s="17"/>
      <c r="U3" s="17"/>
      <c r="V3" s="17"/>
      <c r="W3" s="17"/>
      <c r="X3" s="17"/>
      <c r="Y3" s="17"/>
      <c r="Z3" s="17"/>
    </row>
    <row r="4" spans="1:26" ht="15.75" thickBot="1">
      <c r="A4" s="820" t="s">
        <v>87</v>
      </c>
      <c r="B4" s="820"/>
      <c r="C4" s="820"/>
      <c r="D4" s="578"/>
      <c r="E4" s="72">
        <f t="shared" ref="E4:F4" si="0">SUM(E5:E54)</f>
        <v>0</v>
      </c>
      <c r="F4" s="73">
        <f t="shared" si="0"/>
        <v>0</v>
      </c>
      <c r="G4" s="73">
        <f t="shared" ref="G4:Z4" si="1">SUM(G5:G54)</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outlineLevel="1">
      <c r="A5" s="807" t="s">
        <v>89</v>
      </c>
      <c r="B5" s="807" t="s">
        <v>309</v>
      </c>
      <c r="C5" s="808">
        <v>713002</v>
      </c>
      <c r="D5" s="486">
        <v>1</v>
      </c>
      <c r="E5" s="67">
        <f t="shared" ref="E5:E54" si="2">SUM(F5:Z5)</f>
        <v>0</v>
      </c>
      <c r="F5" s="565">
        <f>IFERROR(SUMIFS('Rozpočet - HW a licencie'!$I$3:$I$102,'Rozpočet - HW a licencie'!$A$3:$A$102,'TCO TO BE - HW'!F$2,'Rozpočet - HW a licencie'!$C$3:$C$102,"HW",'Rozpočet - HW a licencie'!$G$3:$G$102,'TCO TO BE - HW'!$D5,'Rozpočet - HW a licencie'!$D$3:$D$102,'TCO TO BE - HW'!$B$5)+SUMIFS('Rozpočet - HW a licencie'!$I$3:$I$102,'Rozpočet - HW a licencie'!$A$3:$A$102,'TCO TO BE - HW'!F$2,'Rozpočet - HW a licencie'!$C$3:$C$102,"SW pre HW",'Rozpočet - HW a licencie'!$G$3:$G$102,'TCO TO BE - HW'!$D5,'Rozpočet - HW a licencie'!$D$3:$D$102,'TCO TO BE - HW'!$B$5),)</f>
        <v>0</v>
      </c>
      <c r="G5" s="565">
        <f>IFERROR(SUMIFS('Rozpočet - HW a licencie'!$I$3:$I$102,'Rozpočet - HW a licencie'!$A$3:$A$102,'TCO TO BE - HW'!G$2,'Rozpočet - HW a licencie'!$C$3:$C$102,"HW",'Rozpočet - HW a licencie'!$G$3:$G$102,'TCO TO BE - HW'!$D5,'Rozpočet - HW a licencie'!$D$3:$D$102,'TCO TO BE - HW'!$B$5)+SUMIFS('Rozpočet - HW a licencie'!$I$3:$I$102,'Rozpočet - HW a licencie'!$A$3:$A$102,'TCO TO BE - HW'!G$2,'Rozpočet - HW a licencie'!$C$3:$C$102,"SW pre HW",'Rozpočet - HW a licencie'!$G$3:$G$102,'TCO TO BE - HW'!$D5,'Rozpočet - HW a licencie'!$D$3:$D$102,'TCO TO BE - HW'!$B$5),)</f>
        <v>0</v>
      </c>
      <c r="H5" s="565">
        <f>IFERROR(SUMIFS('Rozpočet - HW a licencie'!$I$3:$I$102,'Rozpočet - HW a licencie'!$A$3:$A$102,'TCO TO BE - HW'!H$2,'Rozpočet - HW a licencie'!$C$3:$C$102,"HW",'Rozpočet - HW a licencie'!$G$3:$G$102,'TCO TO BE - HW'!$D5,'Rozpočet - HW a licencie'!$D$3:$D$102,'TCO TO BE - HW'!$B$5)+SUMIFS('Rozpočet - HW a licencie'!$I$3:$I$102,'Rozpočet - HW a licencie'!$A$3:$A$102,'TCO TO BE - HW'!H$2,'Rozpočet - HW a licencie'!$C$3:$C$102,"SW pre HW",'Rozpočet - HW a licencie'!$G$3:$G$102,'TCO TO BE - HW'!$D5,'Rozpočet - HW a licencie'!$D$3:$D$102,'TCO TO BE - HW'!$B$5),)</f>
        <v>0</v>
      </c>
      <c r="I5" s="565">
        <f>IFERROR(SUMIFS('Rozpočet - HW a licencie'!$I$3:$I$102,'Rozpočet - HW a licencie'!$A$3:$A$102,'TCO TO BE - HW'!I$2,'Rozpočet - HW a licencie'!$C$3:$C$102,"HW",'Rozpočet - HW a licencie'!$G$3:$G$102,'TCO TO BE - HW'!$D5,'Rozpočet - HW a licencie'!$D$3:$D$102,'TCO TO BE - HW'!$B$5)+SUMIFS('Rozpočet - HW a licencie'!$I$3:$I$102,'Rozpočet - HW a licencie'!$A$3:$A$102,'TCO TO BE - HW'!I$2,'Rozpočet - HW a licencie'!$C$3:$C$102,"SW pre HW",'Rozpočet - HW a licencie'!$G$3:$G$102,'TCO TO BE - HW'!$D5,'Rozpočet - HW a licencie'!$D$3:$D$102,'TCO TO BE - HW'!$B$5),)</f>
        <v>0</v>
      </c>
      <c r="J5" s="565">
        <f>IFERROR(SUMIFS('Rozpočet - HW a licencie'!$I$3:$I$102,'Rozpočet - HW a licencie'!$A$3:$A$102,'TCO TO BE - HW'!J$2,'Rozpočet - HW a licencie'!$C$3:$C$102,"HW",'Rozpočet - HW a licencie'!$G$3:$G$102,'TCO TO BE - HW'!$D5,'Rozpočet - HW a licencie'!$D$3:$D$102,'TCO TO BE - HW'!$B$5)+SUMIFS('Rozpočet - HW a licencie'!$I$3:$I$102,'Rozpočet - HW a licencie'!$A$3:$A$102,'TCO TO BE - HW'!J$2,'Rozpočet - HW a licencie'!$C$3:$C$102,"SW pre HW",'Rozpočet - HW a licencie'!$G$3:$G$102,'TCO TO BE - HW'!$D5,'Rozpočet - HW a licencie'!$D$3:$D$102,'TCO TO BE - HW'!$B$5),)</f>
        <v>0</v>
      </c>
      <c r="K5" s="565">
        <f>IFERROR(SUMIFS('Rozpočet - HW a licencie'!$I$3:$I$102,'Rozpočet - HW a licencie'!$A$3:$A$102,'TCO TO BE - HW'!K$2,'Rozpočet - HW a licencie'!$C$3:$C$102,"HW",'Rozpočet - HW a licencie'!$G$3:$G$102,'TCO TO BE - HW'!$D5,'Rozpočet - HW a licencie'!$D$3:$D$102,'TCO TO BE - HW'!$B$5)+SUMIFS('Rozpočet - HW a licencie'!$I$3:$I$102,'Rozpočet - HW a licencie'!$A$3:$A$102,'TCO TO BE - HW'!K$2,'Rozpočet - HW a licencie'!$C$3:$C$102,"SW pre HW",'Rozpočet - HW a licencie'!$G$3:$G$102,'TCO TO BE - HW'!$D5,'Rozpočet - HW a licencie'!$D$3:$D$102,'TCO TO BE - HW'!$B$5),)</f>
        <v>0</v>
      </c>
      <c r="L5" s="565">
        <f>IFERROR(SUMIFS('Rozpočet - HW a licencie'!$I$3:$I$102,'Rozpočet - HW a licencie'!$A$3:$A$102,'TCO TO BE - HW'!L$2,'Rozpočet - HW a licencie'!$C$3:$C$102,"HW",'Rozpočet - HW a licencie'!$G$3:$G$102,'TCO TO BE - HW'!$D5,'Rozpočet - HW a licencie'!$D$3:$D$102,'TCO TO BE - HW'!$B$5)+SUMIFS('Rozpočet - HW a licencie'!$I$3:$I$102,'Rozpočet - HW a licencie'!$A$3:$A$102,'TCO TO BE - HW'!L$2,'Rozpočet - HW a licencie'!$C$3:$C$102,"SW pre HW",'Rozpočet - HW a licencie'!$G$3:$G$102,'TCO TO BE - HW'!$D5,'Rozpočet - HW a licencie'!$D$3:$D$102,'TCO TO BE - HW'!$B$5),)</f>
        <v>0</v>
      </c>
      <c r="M5" s="565">
        <f>IFERROR(SUMIFS('Rozpočet - HW a licencie'!$I$3:$I$102,'Rozpočet - HW a licencie'!$A$3:$A$102,'TCO TO BE - HW'!M$2,'Rozpočet - HW a licencie'!$C$3:$C$102,"HW",'Rozpočet - HW a licencie'!$G$3:$G$102,'TCO TO BE - HW'!$D5,'Rozpočet - HW a licencie'!$D$3:$D$102,'TCO TO BE - HW'!$B$5)+SUMIFS('Rozpočet - HW a licencie'!$I$3:$I$102,'Rozpočet - HW a licencie'!$A$3:$A$102,'TCO TO BE - HW'!M$2,'Rozpočet - HW a licencie'!$C$3:$C$102,"SW pre HW",'Rozpočet - HW a licencie'!$G$3:$G$102,'TCO TO BE - HW'!$D5,'Rozpočet - HW a licencie'!$D$3:$D$102,'TCO TO BE - HW'!$B$5),)</f>
        <v>0</v>
      </c>
      <c r="N5" s="565">
        <f>IFERROR(SUMIFS('Rozpočet - HW a licencie'!$I$3:$I$102,'Rozpočet - HW a licencie'!$A$3:$A$102,'TCO TO BE - HW'!N$2,'Rozpočet - HW a licencie'!$C$3:$C$102,"HW",'Rozpočet - HW a licencie'!$G$3:$G$102,'TCO TO BE - HW'!$D5,'Rozpočet - HW a licencie'!$D$3:$D$102,'TCO TO BE - HW'!$B$5)+SUMIFS('Rozpočet - HW a licencie'!$I$3:$I$102,'Rozpočet - HW a licencie'!$A$3:$A$102,'TCO TO BE - HW'!N$2,'Rozpočet - HW a licencie'!$C$3:$C$102,"SW pre HW",'Rozpočet - HW a licencie'!$G$3:$G$102,'TCO TO BE - HW'!$D5,'Rozpočet - HW a licencie'!$D$3:$D$102,'TCO TO BE - HW'!$B$5),)</f>
        <v>0</v>
      </c>
      <c r="O5" s="565">
        <f>IFERROR(SUMIFS('Rozpočet - HW a licencie'!$I$3:$I$102,'Rozpočet - HW a licencie'!$A$3:$A$102,'TCO TO BE - HW'!O$2,'Rozpočet - HW a licencie'!$C$3:$C$102,"HW",'Rozpočet - HW a licencie'!$G$3:$G$102,'TCO TO BE - HW'!$D5,'Rozpočet - HW a licencie'!$D$3:$D$102,'TCO TO BE - HW'!$B$5)+SUMIFS('Rozpočet - HW a licencie'!$I$3:$I$102,'Rozpočet - HW a licencie'!$A$3:$A$102,'TCO TO BE - HW'!O$2,'Rozpočet - HW a licencie'!$C$3:$C$102,"SW pre HW",'Rozpočet - HW a licencie'!$G$3:$G$102,'TCO TO BE - HW'!$D5,'Rozpočet - HW a licencie'!$D$3:$D$102,'TCO TO BE - HW'!$B$5),)</f>
        <v>0</v>
      </c>
      <c r="P5" s="565">
        <f>IFERROR(SUMIFS('Rozpočet - HW a licencie'!$I$3:$I$102,'Rozpočet - HW a licencie'!$A$3:$A$102,'TCO TO BE - HW'!P$2,'Rozpočet - HW a licencie'!$C$3:$C$102,"HW",'Rozpočet - HW a licencie'!$G$3:$G$102,'TCO TO BE - HW'!$D5,'Rozpočet - HW a licencie'!$D$3:$D$102,'TCO TO BE - HW'!$B$5)+SUMIFS('Rozpočet - HW a licencie'!$I$3:$I$102,'Rozpočet - HW a licencie'!$A$3:$A$102,'TCO TO BE - HW'!P$2,'Rozpočet - HW a licencie'!$C$3:$C$102,"SW pre HW",'Rozpočet - HW a licencie'!$G$3:$G$102,'TCO TO BE - HW'!$D5,'Rozpočet - HW a licencie'!$D$3:$D$102,'TCO TO BE - HW'!$B$5),)</f>
        <v>0</v>
      </c>
      <c r="Q5" s="565">
        <f>IFERROR(SUMIFS('Rozpočet - HW a licencie'!$I$3:$I$102,'Rozpočet - HW a licencie'!$A$3:$A$102,'TCO TO BE - HW'!Q$2,'Rozpočet - HW a licencie'!$C$3:$C$102,"HW",'Rozpočet - HW a licencie'!$G$3:$G$102,'TCO TO BE - HW'!$D5,'Rozpočet - HW a licencie'!$D$3:$D$102,'TCO TO BE - HW'!$B$5)+SUMIFS('Rozpočet - HW a licencie'!$I$3:$I$102,'Rozpočet - HW a licencie'!$A$3:$A$102,'TCO TO BE - HW'!Q$2,'Rozpočet - HW a licencie'!$C$3:$C$102,"SW pre HW",'Rozpočet - HW a licencie'!$G$3:$G$102,'TCO TO BE - HW'!$D5,'Rozpočet - HW a licencie'!$D$3:$D$102,'TCO TO BE - HW'!$B$5),)</f>
        <v>0</v>
      </c>
      <c r="R5" s="565">
        <f>IFERROR(SUMIFS('Rozpočet - HW a licencie'!$I$3:$I$102,'Rozpočet - HW a licencie'!$A$3:$A$102,'TCO TO BE - HW'!R$2,'Rozpočet - HW a licencie'!$C$3:$C$102,"HW",'Rozpočet - HW a licencie'!$G$3:$G$102,'TCO TO BE - HW'!$D5,'Rozpočet - HW a licencie'!$D$3:$D$102,'TCO TO BE - HW'!$B$5)+SUMIFS('Rozpočet - HW a licencie'!$I$3:$I$102,'Rozpočet - HW a licencie'!$A$3:$A$102,'TCO TO BE - HW'!R$2,'Rozpočet - HW a licencie'!$C$3:$C$102,"SW pre HW",'Rozpočet - HW a licencie'!$G$3:$G$102,'TCO TO BE - HW'!$D5,'Rozpočet - HW a licencie'!$D$3:$D$102,'TCO TO BE - HW'!$B$5),)</f>
        <v>0</v>
      </c>
      <c r="S5" s="565">
        <f>IFERROR(SUMIFS('Rozpočet - HW a licencie'!$I$3:$I$102,'Rozpočet - HW a licencie'!$A$3:$A$102,'TCO TO BE - HW'!S$2,'Rozpočet - HW a licencie'!$C$3:$C$102,"HW",'Rozpočet - HW a licencie'!$G$3:$G$102,'TCO TO BE - HW'!$D5,'Rozpočet - HW a licencie'!$D$3:$D$102,'TCO TO BE - HW'!$B$5)+SUMIFS('Rozpočet - HW a licencie'!$I$3:$I$102,'Rozpočet - HW a licencie'!$A$3:$A$102,'TCO TO BE - HW'!S$2,'Rozpočet - HW a licencie'!$C$3:$C$102,"SW pre HW",'Rozpočet - HW a licencie'!$G$3:$G$102,'TCO TO BE - HW'!$D5,'Rozpočet - HW a licencie'!$D$3:$D$102,'TCO TO BE - HW'!$B$5),)</f>
        <v>0</v>
      </c>
      <c r="T5" s="565">
        <f>IFERROR(SUMIFS('Rozpočet - HW a licencie'!$I$3:$I$102,'Rozpočet - HW a licencie'!$A$3:$A$102,'TCO TO BE - HW'!T$2,'Rozpočet - HW a licencie'!$C$3:$C$102,"HW",'Rozpočet - HW a licencie'!$G$3:$G$102,'TCO TO BE - HW'!$D5,'Rozpočet - HW a licencie'!$D$3:$D$102,'TCO TO BE - HW'!$B$5)+SUMIFS('Rozpočet - HW a licencie'!$I$3:$I$102,'Rozpočet - HW a licencie'!$A$3:$A$102,'TCO TO BE - HW'!T$2,'Rozpočet - HW a licencie'!$C$3:$C$102,"SW pre HW",'Rozpočet - HW a licencie'!$G$3:$G$102,'TCO TO BE - HW'!$D5,'Rozpočet - HW a licencie'!$D$3:$D$102,'TCO TO BE - HW'!$B$5),)</f>
        <v>0</v>
      </c>
      <c r="U5" s="565">
        <f>IFERROR(SUMIFS('Rozpočet - HW a licencie'!$I$3:$I$102,'Rozpočet - HW a licencie'!$A$3:$A$102,'TCO TO BE - HW'!U$2,'Rozpočet - HW a licencie'!$C$3:$C$102,"HW",'Rozpočet - HW a licencie'!$G$3:$G$102,'TCO TO BE - HW'!$D5,'Rozpočet - HW a licencie'!$D$3:$D$102,'TCO TO BE - HW'!$B$5)+SUMIFS('Rozpočet - HW a licencie'!$I$3:$I$102,'Rozpočet - HW a licencie'!$A$3:$A$102,'TCO TO BE - HW'!U$2,'Rozpočet - HW a licencie'!$C$3:$C$102,"SW pre HW",'Rozpočet - HW a licencie'!$G$3:$G$102,'TCO TO BE - HW'!$D5,'Rozpočet - HW a licencie'!$D$3:$D$102,'TCO TO BE - HW'!$B$5),)</f>
        <v>0</v>
      </c>
      <c r="V5" s="565">
        <f>IFERROR(SUMIFS('Rozpočet - HW a licencie'!$I$3:$I$102,'Rozpočet - HW a licencie'!$A$3:$A$102,'TCO TO BE - HW'!V$2,'Rozpočet - HW a licencie'!$C$3:$C$102,"HW",'Rozpočet - HW a licencie'!$G$3:$G$102,'TCO TO BE - HW'!$D5,'Rozpočet - HW a licencie'!$D$3:$D$102,'TCO TO BE - HW'!$B$5)+SUMIFS('Rozpočet - HW a licencie'!$I$3:$I$102,'Rozpočet - HW a licencie'!$A$3:$A$102,'TCO TO BE - HW'!V$2,'Rozpočet - HW a licencie'!$C$3:$C$102,"SW pre HW",'Rozpočet - HW a licencie'!$G$3:$G$102,'TCO TO BE - HW'!$D5,'Rozpočet - HW a licencie'!$D$3:$D$102,'TCO TO BE - HW'!$B$5),)</f>
        <v>0</v>
      </c>
      <c r="W5" s="565">
        <f>IFERROR(SUMIFS('Rozpočet - HW a licencie'!$I$3:$I$102,'Rozpočet - HW a licencie'!$A$3:$A$102,'TCO TO BE - HW'!W$2,'Rozpočet - HW a licencie'!$C$3:$C$102,"HW",'Rozpočet - HW a licencie'!$G$3:$G$102,'TCO TO BE - HW'!$D5,'Rozpočet - HW a licencie'!$D$3:$D$102,'TCO TO BE - HW'!$B$5)+SUMIFS('Rozpočet - HW a licencie'!$I$3:$I$102,'Rozpočet - HW a licencie'!$A$3:$A$102,'TCO TO BE - HW'!W$2,'Rozpočet - HW a licencie'!$C$3:$C$102,"SW pre HW",'Rozpočet - HW a licencie'!$G$3:$G$102,'TCO TO BE - HW'!$D5,'Rozpočet - HW a licencie'!$D$3:$D$102,'TCO TO BE - HW'!$B$5),)</f>
        <v>0</v>
      </c>
      <c r="X5" s="565">
        <f>IFERROR(SUMIFS('Rozpočet - HW a licencie'!$I$3:$I$102,'Rozpočet - HW a licencie'!$A$3:$A$102,'TCO TO BE - HW'!X$2,'Rozpočet - HW a licencie'!$C$3:$C$102,"HW",'Rozpočet - HW a licencie'!$G$3:$G$102,'TCO TO BE - HW'!$D5,'Rozpočet - HW a licencie'!$D$3:$D$102,'TCO TO BE - HW'!$B$5)+SUMIFS('Rozpočet - HW a licencie'!$I$3:$I$102,'Rozpočet - HW a licencie'!$A$3:$A$102,'TCO TO BE - HW'!X$2,'Rozpočet - HW a licencie'!$C$3:$C$102,"SW pre HW",'Rozpočet - HW a licencie'!$G$3:$G$102,'TCO TO BE - HW'!$D5,'Rozpočet - HW a licencie'!$D$3:$D$102,'TCO TO BE - HW'!$B$5),)</f>
        <v>0</v>
      </c>
      <c r="Y5" s="565">
        <f>IFERROR(SUMIFS('Rozpočet - HW a licencie'!$I$3:$I$102,'Rozpočet - HW a licencie'!$A$3:$A$102,'TCO TO BE - HW'!Y$2,'Rozpočet - HW a licencie'!$C$3:$C$102,"HW",'Rozpočet - HW a licencie'!$G$3:$G$102,'TCO TO BE - HW'!$D5,'Rozpočet - HW a licencie'!$D$3:$D$102,'TCO TO BE - HW'!$B$5)+SUMIFS('Rozpočet - HW a licencie'!$I$3:$I$102,'Rozpočet - HW a licencie'!$A$3:$A$102,'TCO TO BE - HW'!Y$2,'Rozpočet - HW a licencie'!$C$3:$C$102,"SW pre HW",'Rozpočet - HW a licencie'!$G$3:$G$102,'TCO TO BE - HW'!$D5,'Rozpočet - HW a licencie'!$D$3:$D$102,'TCO TO BE - HW'!$B$5),)</f>
        <v>0</v>
      </c>
      <c r="Z5" s="565">
        <f>IFERROR(SUMIFS('Rozpočet - HW a licencie'!$I$3:$I$102,'Rozpočet - HW a licencie'!$A$3:$A$102,'TCO TO BE - HW'!Z$2,'Rozpočet - HW a licencie'!$C$3:$C$102,"HW",'Rozpočet - HW a licencie'!$G$3:$G$102,'TCO TO BE - HW'!$D5,'Rozpočet - HW a licencie'!$D$3:$D$102,'TCO TO BE - HW'!$B$5)+SUMIFS('Rozpočet - HW a licencie'!$I$3:$I$102,'Rozpočet - HW a licencie'!$A$3:$A$102,'TCO TO BE - HW'!Z$2,'Rozpočet - HW a licencie'!$C$3:$C$102,"SW pre HW",'Rozpočet - HW a licencie'!$G$3:$G$102,'TCO TO BE - HW'!$D5,'Rozpočet - HW a licencie'!$D$3:$D$102,'TCO TO BE - HW'!$B$5),)</f>
        <v>0</v>
      </c>
    </row>
    <row r="6" spans="1:26" outlineLevel="1">
      <c r="A6" s="807"/>
      <c r="B6" s="808"/>
      <c r="C6" s="808"/>
      <c r="D6" s="487">
        <v>2</v>
      </c>
      <c r="E6" s="68">
        <f t="shared" si="2"/>
        <v>0</v>
      </c>
      <c r="F6" s="565">
        <f>IFERROR(SUMIFS('Rozpočet - HW a licencie'!$I$3:$I$102,'Rozpočet - HW a licencie'!$A$3:$A$102,'TCO TO BE - HW'!F$2,'Rozpočet - HW a licencie'!$C$3:$C$102,"HW",'Rozpočet - HW a licencie'!$G$3:$G$102,'TCO TO BE - HW'!$D6,'Rozpočet - HW a licencie'!$D$3:$D$102,'TCO TO BE - HW'!$B$5)+SUMIFS('Rozpočet - HW a licencie'!$I$3:$I$102,'Rozpočet - HW a licencie'!$A$3:$A$102,'TCO TO BE - HW'!F$2,'Rozpočet - HW a licencie'!$C$3:$C$102,"SW pre HW",'Rozpočet - HW a licencie'!$G$3:$G$102,'TCO TO BE - HW'!$D6,'Rozpočet - HW a licencie'!$D$3:$D$102,'TCO TO BE - HW'!$B$5),)</f>
        <v>0</v>
      </c>
      <c r="G6" s="565">
        <f>IFERROR(SUMIFS('Rozpočet - HW a licencie'!$I$3:$I$102,'Rozpočet - HW a licencie'!$A$3:$A$102,'TCO TO BE - HW'!G$2,'Rozpočet - HW a licencie'!$C$3:$C$102,"HW",'Rozpočet - HW a licencie'!$G$3:$G$102,'TCO TO BE - HW'!$D6,'Rozpočet - HW a licencie'!$D$3:$D$102,'TCO TO BE - HW'!$B$5)+SUMIFS('Rozpočet - HW a licencie'!$I$3:$I$102,'Rozpočet - HW a licencie'!$A$3:$A$102,'TCO TO BE - HW'!G$2,'Rozpočet - HW a licencie'!$C$3:$C$102,"SW pre HW",'Rozpočet - HW a licencie'!$G$3:$G$102,'TCO TO BE - HW'!$D6,'Rozpočet - HW a licencie'!$D$3:$D$102,'TCO TO BE - HW'!$B$5),)</f>
        <v>0</v>
      </c>
      <c r="H6" s="565">
        <f>IFERROR(SUMIFS('Rozpočet - HW a licencie'!$I$3:$I$102,'Rozpočet - HW a licencie'!$A$3:$A$102,'TCO TO BE - HW'!H$2,'Rozpočet - HW a licencie'!$C$3:$C$102,"HW",'Rozpočet - HW a licencie'!$G$3:$G$102,'TCO TO BE - HW'!$D6,'Rozpočet - HW a licencie'!$D$3:$D$102,'TCO TO BE - HW'!$B$5)+SUMIFS('Rozpočet - HW a licencie'!$I$3:$I$102,'Rozpočet - HW a licencie'!$A$3:$A$102,'TCO TO BE - HW'!H$2,'Rozpočet - HW a licencie'!$C$3:$C$102,"SW pre HW",'Rozpočet - HW a licencie'!$G$3:$G$102,'TCO TO BE - HW'!$D6,'Rozpočet - HW a licencie'!$D$3:$D$102,'TCO TO BE - HW'!$B$5),)</f>
        <v>0</v>
      </c>
      <c r="I6" s="565">
        <f>IFERROR(SUMIFS('Rozpočet - HW a licencie'!$I$3:$I$102,'Rozpočet - HW a licencie'!$A$3:$A$102,'TCO TO BE - HW'!I$2,'Rozpočet - HW a licencie'!$C$3:$C$102,"HW",'Rozpočet - HW a licencie'!$G$3:$G$102,'TCO TO BE - HW'!$D6,'Rozpočet - HW a licencie'!$D$3:$D$102,'TCO TO BE - HW'!$B$5)+SUMIFS('Rozpočet - HW a licencie'!$I$3:$I$102,'Rozpočet - HW a licencie'!$A$3:$A$102,'TCO TO BE - HW'!I$2,'Rozpočet - HW a licencie'!$C$3:$C$102,"SW pre HW",'Rozpočet - HW a licencie'!$G$3:$G$102,'TCO TO BE - HW'!$D6,'Rozpočet - HW a licencie'!$D$3:$D$102,'TCO TO BE - HW'!$B$5),)</f>
        <v>0</v>
      </c>
      <c r="J6" s="565">
        <f>IFERROR(SUMIFS('Rozpočet - HW a licencie'!$I$3:$I$102,'Rozpočet - HW a licencie'!$A$3:$A$102,'TCO TO BE - HW'!J$2,'Rozpočet - HW a licencie'!$C$3:$C$102,"HW",'Rozpočet - HW a licencie'!$G$3:$G$102,'TCO TO BE - HW'!$D6,'Rozpočet - HW a licencie'!$D$3:$D$102,'TCO TO BE - HW'!$B$5)+SUMIFS('Rozpočet - HW a licencie'!$I$3:$I$102,'Rozpočet - HW a licencie'!$A$3:$A$102,'TCO TO BE - HW'!J$2,'Rozpočet - HW a licencie'!$C$3:$C$102,"SW pre HW",'Rozpočet - HW a licencie'!$G$3:$G$102,'TCO TO BE - HW'!$D6,'Rozpočet - HW a licencie'!$D$3:$D$102,'TCO TO BE - HW'!$B$5),)</f>
        <v>0</v>
      </c>
      <c r="K6" s="565">
        <f>IFERROR(SUMIFS('Rozpočet - HW a licencie'!$I$3:$I$102,'Rozpočet - HW a licencie'!$A$3:$A$102,'TCO TO BE - HW'!K$2,'Rozpočet - HW a licencie'!$C$3:$C$102,"HW",'Rozpočet - HW a licencie'!$G$3:$G$102,'TCO TO BE - HW'!$D6,'Rozpočet - HW a licencie'!$D$3:$D$102,'TCO TO BE - HW'!$B$5)+SUMIFS('Rozpočet - HW a licencie'!$I$3:$I$102,'Rozpočet - HW a licencie'!$A$3:$A$102,'TCO TO BE - HW'!K$2,'Rozpočet - HW a licencie'!$C$3:$C$102,"SW pre HW",'Rozpočet - HW a licencie'!$G$3:$G$102,'TCO TO BE - HW'!$D6,'Rozpočet - HW a licencie'!$D$3:$D$102,'TCO TO BE - HW'!$B$5),)</f>
        <v>0</v>
      </c>
      <c r="L6" s="565">
        <f>IFERROR(SUMIFS('Rozpočet - HW a licencie'!$I$3:$I$102,'Rozpočet - HW a licencie'!$A$3:$A$102,'TCO TO BE - HW'!L$2,'Rozpočet - HW a licencie'!$C$3:$C$102,"HW",'Rozpočet - HW a licencie'!$G$3:$G$102,'TCO TO BE - HW'!$D6,'Rozpočet - HW a licencie'!$D$3:$D$102,'TCO TO BE - HW'!$B$5)+SUMIFS('Rozpočet - HW a licencie'!$I$3:$I$102,'Rozpočet - HW a licencie'!$A$3:$A$102,'TCO TO BE - HW'!L$2,'Rozpočet - HW a licencie'!$C$3:$C$102,"SW pre HW",'Rozpočet - HW a licencie'!$G$3:$G$102,'TCO TO BE - HW'!$D6,'Rozpočet - HW a licencie'!$D$3:$D$102,'TCO TO BE - HW'!$B$5),)</f>
        <v>0</v>
      </c>
      <c r="M6" s="565">
        <f>IFERROR(SUMIFS('Rozpočet - HW a licencie'!$I$3:$I$102,'Rozpočet - HW a licencie'!$A$3:$A$102,'TCO TO BE - HW'!M$2,'Rozpočet - HW a licencie'!$C$3:$C$102,"HW",'Rozpočet - HW a licencie'!$G$3:$G$102,'TCO TO BE - HW'!$D6,'Rozpočet - HW a licencie'!$D$3:$D$102,'TCO TO BE - HW'!$B$5)+SUMIFS('Rozpočet - HW a licencie'!$I$3:$I$102,'Rozpočet - HW a licencie'!$A$3:$A$102,'TCO TO BE - HW'!M$2,'Rozpočet - HW a licencie'!$C$3:$C$102,"SW pre HW",'Rozpočet - HW a licencie'!$G$3:$G$102,'TCO TO BE - HW'!$D6,'Rozpočet - HW a licencie'!$D$3:$D$102,'TCO TO BE - HW'!$B$5),)</f>
        <v>0</v>
      </c>
      <c r="N6" s="565">
        <f>IFERROR(SUMIFS('Rozpočet - HW a licencie'!$I$3:$I$102,'Rozpočet - HW a licencie'!$A$3:$A$102,'TCO TO BE - HW'!N$2,'Rozpočet - HW a licencie'!$C$3:$C$102,"HW",'Rozpočet - HW a licencie'!$G$3:$G$102,'TCO TO BE - HW'!$D6,'Rozpočet - HW a licencie'!$D$3:$D$102,'TCO TO BE - HW'!$B$5)+SUMIFS('Rozpočet - HW a licencie'!$I$3:$I$102,'Rozpočet - HW a licencie'!$A$3:$A$102,'TCO TO BE - HW'!N$2,'Rozpočet - HW a licencie'!$C$3:$C$102,"SW pre HW",'Rozpočet - HW a licencie'!$G$3:$G$102,'TCO TO BE - HW'!$D6,'Rozpočet - HW a licencie'!$D$3:$D$102,'TCO TO BE - HW'!$B$5),)</f>
        <v>0</v>
      </c>
      <c r="O6" s="565">
        <f>IFERROR(SUMIFS('Rozpočet - HW a licencie'!$I$3:$I$102,'Rozpočet - HW a licencie'!$A$3:$A$102,'TCO TO BE - HW'!O$2,'Rozpočet - HW a licencie'!$C$3:$C$102,"HW",'Rozpočet - HW a licencie'!$G$3:$G$102,'TCO TO BE - HW'!$D6,'Rozpočet - HW a licencie'!$D$3:$D$102,'TCO TO BE - HW'!$B$5)+SUMIFS('Rozpočet - HW a licencie'!$I$3:$I$102,'Rozpočet - HW a licencie'!$A$3:$A$102,'TCO TO BE - HW'!O$2,'Rozpočet - HW a licencie'!$C$3:$C$102,"SW pre HW",'Rozpočet - HW a licencie'!$G$3:$G$102,'TCO TO BE - HW'!$D6,'Rozpočet - HW a licencie'!$D$3:$D$102,'TCO TO BE - HW'!$B$5),)</f>
        <v>0</v>
      </c>
      <c r="P6" s="565">
        <f>IFERROR(SUMIFS('Rozpočet - HW a licencie'!$I$3:$I$102,'Rozpočet - HW a licencie'!$A$3:$A$102,'TCO TO BE - HW'!P$2,'Rozpočet - HW a licencie'!$C$3:$C$102,"HW",'Rozpočet - HW a licencie'!$G$3:$G$102,'TCO TO BE - HW'!$D6,'Rozpočet - HW a licencie'!$D$3:$D$102,'TCO TO BE - HW'!$B$5)+SUMIFS('Rozpočet - HW a licencie'!$I$3:$I$102,'Rozpočet - HW a licencie'!$A$3:$A$102,'TCO TO BE - HW'!P$2,'Rozpočet - HW a licencie'!$C$3:$C$102,"SW pre HW",'Rozpočet - HW a licencie'!$G$3:$G$102,'TCO TO BE - HW'!$D6,'Rozpočet - HW a licencie'!$D$3:$D$102,'TCO TO BE - HW'!$B$5),)</f>
        <v>0</v>
      </c>
      <c r="Q6" s="565">
        <f>IFERROR(SUMIFS('Rozpočet - HW a licencie'!$I$3:$I$102,'Rozpočet - HW a licencie'!$A$3:$A$102,'TCO TO BE - HW'!Q$2,'Rozpočet - HW a licencie'!$C$3:$C$102,"HW",'Rozpočet - HW a licencie'!$G$3:$G$102,'TCO TO BE - HW'!$D6,'Rozpočet - HW a licencie'!$D$3:$D$102,'TCO TO BE - HW'!$B$5)+SUMIFS('Rozpočet - HW a licencie'!$I$3:$I$102,'Rozpočet - HW a licencie'!$A$3:$A$102,'TCO TO BE - HW'!Q$2,'Rozpočet - HW a licencie'!$C$3:$C$102,"SW pre HW",'Rozpočet - HW a licencie'!$G$3:$G$102,'TCO TO BE - HW'!$D6,'Rozpočet - HW a licencie'!$D$3:$D$102,'TCO TO BE - HW'!$B$5),)</f>
        <v>0</v>
      </c>
      <c r="R6" s="565">
        <f>IFERROR(SUMIFS('Rozpočet - HW a licencie'!$I$3:$I$102,'Rozpočet - HW a licencie'!$A$3:$A$102,'TCO TO BE - HW'!R$2,'Rozpočet - HW a licencie'!$C$3:$C$102,"HW",'Rozpočet - HW a licencie'!$G$3:$G$102,'TCO TO BE - HW'!$D6,'Rozpočet - HW a licencie'!$D$3:$D$102,'TCO TO BE - HW'!$B$5)+SUMIFS('Rozpočet - HW a licencie'!$I$3:$I$102,'Rozpočet - HW a licencie'!$A$3:$A$102,'TCO TO BE - HW'!R$2,'Rozpočet - HW a licencie'!$C$3:$C$102,"SW pre HW",'Rozpočet - HW a licencie'!$G$3:$G$102,'TCO TO BE - HW'!$D6,'Rozpočet - HW a licencie'!$D$3:$D$102,'TCO TO BE - HW'!$B$5),)</f>
        <v>0</v>
      </c>
      <c r="S6" s="565">
        <f>IFERROR(SUMIFS('Rozpočet - HW a licencie'!$I$3:$I$102,'Rozpočet - HW a licencie'!$A$3:$A$102,'TCO TO BE - HW'!S$2,'Rozpočet - HW a licencie'!$C$3:$C$102,"HW",'Rozpočet - HW a licencie'!$G$3:$G$102,'TCO TO BE - HW'!$D6,'Rozpočet - HW a licencie'!$D$3:$D$102,'TCO TO BE - HW'!$B$5)+SUMIFS('Rozpočet - HW a licencie'!$I$3:$I$102,'Rozpočet - HW a licencie'!$A$3:$A$102,'TCO TO BE - HW'!S$2,'Rozpočet - HW a licencie'!$C$3:$C$102,"SW pre HW",'Rozpočet - HW a licencie'!$G$3:$G$102,'TCO TO BE - HW'!$D6,'Rozpočet - HW a licencie'!$D$3:$D$102,'TCO TO BE - HW'!$B$5),)</f>
        <v>0</v>
      </c>
      <c r="T6" s="565">
        <f>IFERROR(SUMIFS('Rozpočet - HW a licencie'!$I$3:$I$102,'Rozpočet - HW a licencie'!$A$3:$A$102,'TCO TO BE - HW'!T$2,'Rozpočet - HW a licencie'!$C$3:$C$102,"HW",'Rozpočet - HW a licencie'!$G$3:$G$102,'TCO TO BE - HW'!$D6,'Rozpočet - HW a licencie'!$D$3:$D$102,'TCO TO BE - HW'!$B$5)+SUMIFS('Rozpočet - HW a licencie'!$I$3:$I$102,'Rozpočet - HW a licencie'!$A$3:$A$102,'TCO TO BE - HW'!T$2,'Rozpočet - HW a licencie'!$C$3:$C$102,"SW pre HW",'Rozpočet - HW a licencie'!$G$3:$G$102,'TCO TO BE - HW'!$D6,'Rozpočet - HW a licencie'!$D$3:$D$102,'TCO TO BE - HW'!$B$5),)</f>
        <v>0</v>
      </c>
      <c r="U6" s="565">
        <f>IFERROR(SUMIFS('Rozpočet - HW a licencie'!$I$3:$I$102,'Rozpočet - HW a licencie'!$A$3:$A$102,'TCO TO BE - HW'!U$2,'Rozpočet - HW a licencie'!$C$3:$C$102,"HW",'Rozpočet - HW a licencie'!$G$3:$G$102,'TCO TO BE - HW'!$D6,'Rozpočet - HW a licencie'!$D$3:$D$102,'TCO TO BE - HW'!$B$5)+SUMIFS('Rozpočet - HW a licencie'!$I$3:$I$102,'Rozpočet - HW a licencie'!$A$3:$A$102,'TCO TO BE - HW'!U$2,'Rozpočet - HW a licencie'!$C$3:$C$102,"SW pre HW",'Rozpočet - HW a licencie'!$G$3:$G$102,'TCO TO BE - HW'!$D6,'Rozpočet - HW a licencie'!$D$3:$D$102,'TCO TO BE - HW'!$B$5),)</f>
        <v>0</v>
      </c>
      <c r="V6" s="565">
        <f>IFERROR(SUMIFS('Rozpočet - HW a licencie'!$I$3:$I$102,'Rozpočet - HW a licencie'!$A$3:$A$102,'TCO TO BE - HW'!V$2,'Rozpočet - HW a licencie'!$C$3:$C$102,"HW",'Rozpočet - HW a licencie'!$G$3:$G$102,'TCO TO BE - HW'!$D6,'Rozpočet - HW a licencie'!$D$3:$D$102,'TCO TO BE - HW'!$B$5)+SUMIFS('Rozpočet - HW a licencie'!$I$3:$I$102,'Rozpočet - HW a licencie'!$A$3:$A$102,'TCO TO BE - HW'!V$2,'Rozpočet - HW a licencie'!$C$3:$C$102,"SW pre HW",'Rozpočet - HW a licencie'!$G$3:$G$102,'TCO TO BE - HW'!$D6,'Rozpočet - HW a licencie'!$D$3:$D$102,'TCO TO BE - HW'!$B$5),)</f>
        <v>0</v>
      </c>
      <c r="W6" s="565">
        <f>IFERROR(SUMIFS('Rozpočet - HW a licencie'!$I$3:$I$102,'Rozpočet - HW a licencie'!$A$3:$A$102,'TCO TO BE - HW'!W$2,'Rozpočet - HW a licencie'!$C$3:$C$102,"HW",'Rozpočet - HW a licencie'!$G$3:$G$102,'TCO TO BE - HW'!$D6,'Rozpočet - HW a licencie'!$D$3:$D$102,'TCO TO BE - HW'!$B$5)+SUMIFS('Rozpočet - HW a licencie'!$I$3:$I$102,'Rozpočet - HW a licencie'!$A$3:$A$102,'TCO TO BE - HW'!W$2,'Rozpočet - HW a licencie'!$C$3:$C$102,"SW pre HW",'Rozpočet - HW a licencie'!$G$3:$G$102,'TCO TO BE - HW'!$D6,'Rozpočet - HW a licencie'!$D$3:$D$102,'TCO TO BE - HW'!$B$5),)</f>
        <v>0</v>
      </c>
      <c r="X6" s="565">
        <f>IFERROR(SUMIFS('Rozpočet - HW a licencie'!$I$3:$I$102,'Rozpočet - HW a licencie'!$A$3:$A$102,'TCO TO BE - HW'!X$2,'Rozpočet - HW a licencie'!$C$3:$C$102,"HW",'Rozpočet - HW a licencie'!$G$3:$G$102,'TCO TO BE - HW'!$D6,'Rozpočet - HW a licencie'!$D$3:$D$102,'TCO TO BE - HW'!$B$5)+SUMIFS('Rozpočet - HW a licencie'!$I$3:$I$102,'Rozpočet - HW a licencie'!$A$3:$A$102,'TCO TO BE - HW'!X$2,'Rozpočet - HW a licencie'!$C$3:$C$102,"SW pre HW",'Rozpočet - HW a licencie'!$G$3:$G$102,'TCO TO BE - HW'!$D6,'Rozpočet - HW a licencie'!$D$3:$D$102,'TCO TO BE - HW'!$B$5),)</f>
        <v>0</v>
      </c>
      <c r="Y6" s="565">
        <f>IFERROR(SUMIFS('Rozpočet - HW a licencie'!$I$3:$I$102,'Rozpočet - HW a licencie'!$A$3:$A$102,'TCO TO BE - HW'!Y$2,'Rozpočet - HW a licencie'!$C$3:$C$102,"HW",'Rozpočet - HW a licencie'!$G$3:$G$102,'TCO TO BE - HW'!$D6,'Rozpočet - HW a licencie'!$D$3:$D$102,'TCO TO BE - HW'!$B$5)+SUMIFS('Rozpočet - HW a licencie'!$I$3:$I$102,'Rozpočet - HW a licencie'!$A$3:$A$102,'TCO TO BE - HW'!Y$2,'Rozpočet - HW a licencie'!$C$3:$C$102,"SW pre HW",'Rozpočet - HW a licencie'!$G$3:$G$102,'TCO TO BE - HW'!$D6,'Rozpočet - HW a licencie'!$D$3:$D$102,'TCO TO BE - HW'!$B$5),)</f>
        <v>0</v>
      </c>
      <c r="Z6" s="565">
        <f>IFERROR(SUMIFS('Rozpočet - HW a licencie'!$I$3:$I$102,'Rozpočet - HW a licencie'!$A$3:$A$102,'TCO TO BE - HW'!Z$2,'Rozpočet - HW a licencie'!$C$3:$C$102,"HW",'Rozpočet - HW a licencie'!$G$3:$G$102,'TCO TO BE - HW'!$D6,'Rozpočet - HW a licencie'!$D$3:$D$102,'TCO TO BE - HW'!$B$5)+SUMIFS('Rozpočet - HW a licencie'!$I$3:$I$102,'Rozpočet - HW a licencie'!$A$3:$A$102,'TCO TO BE - HW'!Z$2,'Rozpočet - HW a licencie'!$C$3:$C$102,"SW pre HW",'Rozpočet - HW a licencie'!$G$3:$G$102,'TCO TO BE - HW'!$D6,'Rozpočet - HW a licencie'!$D$3:$D$102,'TCO TO BE - HW'!$B$5),)</f>
        <v>0</v>
      </c>
    </row>
    <row r="7" spans="1:26" outlineLevel="1">
      <c r="A7" s="807"/>
      <c r="B7" s="808"/>
      <c r="C7" s="808"/>
      <c r="D7" s="487">
        <v>3</v>
      </c>
      <c r="E7" s="68">
        <f t="shared" si="2"/>
        <v>0</v>
      </c>
      <c r="F7" s="565">
        <f>IFERROR(SUMIFS('Rozpočet - HW a licencie'!$I$3:$I$102,'Rozpočet - HW a licencie'!$A$3:$A$102,'TCO TO BE - HW'!F$2,'Rozpočet - HW a licencie'!$C$3:$C$102,"HW",'Rozpočet - HW a licencie'!$G$3:$G$102,'TCO TO BE - HW'!$D7,'Rozpočet - HW a licencie'!$D$3:$D$102,'TCO TO BE - HW'!$B$5)+SUMIFS('Rozpočet - HW a licencie'!$I$3:$I$102,'Rozpočet - HW a licencie'!$A$3:$A$102,'TCO TO BE - HW'!F$2,'Rozpočet - HW a licencie'!$C$3:$C$102,"SW pre HW",'Rozpočet - HW a licencie'!$G$3:$G$102,'TCO TO BE - HW'!$D7,'Rozpočet - HW a licencie'!$D$3:$D$102,'TCO TO BE - HW'!$B$5),)</f>
        <v>0</v>
      </c>
      <c r="G7" s="565">
        <f>IFERROR(SUMIFS('Rozpočet - HW a licencie'!$I$3:$I$102,'Rozpočet - HW a licencie'!$A$3:$A$102,'TCO TO BE - HW'!G$2,'Rozpočet - HW a licencie'!$C$3:$C$102,"HW",'Rozpočet - HW a licencie'!$G$3:$G$102,'TCO TO BE - HW'!$D7,'Rozpočet - HW a licencie'!$D$3:$D$102,'TCO TO BE - HW'!$B$5)+SUMIFS('Rozpočet - HW a licencie'!$I$3:$I$102,'Rozpočet - HW a licencie'!$A$3:$A$102,'TCO TO BE - HW'!G$2,'Rozpočet - HW a licencie'!$C$3:$C$102,"SW pre HW",'Rozpočet - HW a licencie'!$G$3:$G$102,'TCO TO BE - HW'!$D7,'Rozpočet - HW a licencie'!$D$3:$D$102,'TCO TO BE - HW'!$B$5),)</f>
        <v>0</v>
      </c>
      <c r="H7" s="565">
        <f>IFERROR(SUMIFS('Rozpočet - HW a licencie'!$I$3:$I$102,'Rozpočet - HW a licencie'!$A$3:$A$102,'TCO TO BE - HW'!H$2,'Rozpočet - HW a licencie'!$C$3:$C$102,"HW",'Rozpočet - HW a licencie'!$G$3:$G$102,'TCO TO BE - HW'!$D7,'Rozpočet - HW a licencie'!$D$3:$D$102,'TCO TO BE - HW'!$B$5)+SUMIFS('Rozpočet - HW a licencie'!$I$3:$I$102,'Rozpočet - HW a licencie'!$A$3:$A$102,'TCO TO BE - HW'!H$2,'Rozpočet - HW a licencie'!$C$3:$C$102,"SW pre HW",'Rozpočet - HW a licencie'!$G$3:$G$102,'TCO TO BE - HW'!$D7,'Rozpočet - HW a licencie'!$D$3:$D$102,'TCO TO BE - HW'!$B$5),)</f>
        <v>0</v>
      </c>
      <c r="I7" s="565">
        <f>IFERROR(SUMIFS('Rozpočet - HW a licencie'!$I$3:$I$102,'Rozpočet - HW a licencie'!$A$3:$A$102,'TCO TO BE - HW'!I$2,'Rozpočet - HW a licencie'!$C$3:$C$102,"HW",'Rozpočet - HW a licencie'!$G$3:$G$102,'TCO TO BE - HW'!$D7,'Rozpočet - HW a licencie'!$D$3:$D$102,'TCO TO BE - HW'!$B$5)+SUMIFS('Rozpočet - HW a licencie'!$I$3:$I$102,'Rozpočet - HW a licencie'!$A$3:$A$102,'TCO TO BE - HW'!I$2,'Rozpočet - HW a licencie'!$C$3:$C$102,"SW pre HW",'Rozpočet - HW a licencie'!$G$3:$G$102,'TCO TO BE - HW'!$D7,'Rozpočet - HW a licencie'!$D$3:$D$102,'TCO TO BE - HW'!$B$5),)</f>
        <v>0</v>
      </c>
      <c r="J7" s="565">
        <f>IFERROR(SUMIFS('Rozpočet - HW a licencie'!$I$3:$I$102,'Rozpočet - HW a licencie'!$A$3:$A$102,'TCO TO BE - HW'!J$2,'Rozpočet - HW a licencie'!$C$3:$C$102,"HW",'Rozpočet - HW a licencie'!$G$3:$G$102,'TCO TO BE - HW'!$D7,'Rozpočet - HW a licencie'!$D$3:$D$102,'TCO TO BE - HW'!$B$5)+SUMIFS('Rozpočet - HW a licencie'!$I$3:$I$102,'Rozpočet - HW a licencie'!$A$3:$A$102,'TCO TO BE - HW'!J$2,'Rozpočet - HW a licencie'!$C$3:$C$102,"SW pre HW",'Rozpočet - HW a licencie'!$G$3:$G$102,'TCO TO BE - HW'!$D7,'Rozpočet - HW a licencie'!$D$3:$D$102,'TCO TO BE - HW'!$B$5),)</f>
        <v>0</v>
      </c>
      <c r="K7" s="565">
        <f>IFERROR(SUMIFS('Rozpočet - HW a licencie'!$I$3:$I$102,'Rozpočet - HW a licencie'!$A$3:$A$102,'TCO TO BE - HW'!K$2,'Rozpočet - HW a licencie'!$C$3:$C$102,"HW",'Rozpočet - HW a licencie'!$G$3:$G$102,'TCO TO BE - HW'!$D7,'Rozpočet - HW a licencie'!$D$3:$D$102,'TCO TO BE - HW'!$B$5)+SUMIFS('Rozpočet - HW a licencie'!$I$3:$I$102,'Rozpočet - HW a licencie'!$A$3:$A$102,'TCO TO BE - HW'!K$2,'Rozpočet - HW a licencie'!$C$3:$C$102,"SW pre HW",'Rozpočet - HW a licencie'!$G$3:$G$102,'TCO TO BE - HW'!$D7,'Rozpočet - HW a licencie'!$D$3:$D$102,'TCO TO BE - HW'!$B$5),)</f>
        <v>0</v>
      </c>
      <c r="L7" s="565">
        <f>IFERROR(SUMIFS('Rozpočet - HW a licencie'!$I$3:$I$102,'Rozpočet - HW a licencie'!$A$3:$A$102,'TCO TO BE - HW'!L$2,'Rozpočet - HW a licencie'!$C$3:$C$102,"HW",'Rozpočet - HW a licencie'!$G$3:$G$102,'TCO TO BE - HW'!$D7,'Rozpočet - HW a licencie'!$D$3:$D$102,'TCO TO BE - HW'!$B$5)+SUMIFS('Rozpočet - HW a licencie'!$I$3:$I$102,'Rozpočet - HW a licencie'!$A$3:$A$102,'TCO TO BE - HW'!L$2,'Rozpočet - HW a licencie'!$C$3:$C$102,"SW pre HW",'Rozpočet - HW a licencie'!$G$3:$G$102,'TCO TO BE - HW'!$D7,'Rozpočet - HW a licencie'!$D$3:$D$102,'TCO TO BE - HW'!$B$5),)</f>
        <v>0</v>
      </c>
      <c r="M7" s="565">
        <f>IFERROR(SUMIFS('Rozpočet - HW a licencie'!$I$3:$I$102,'Rozpočet - HW a licencie'!$A$3:$A$102,'TCO TO BE - HW'!M$2,'Rozpočet - HW a licencie'!$C$3:$C$102,"HW",'Rozpočet - HW a licencie'!$G$3:$G$102,'TCO TO BE - HW'!$D7,'Rozpočet - HW a licencie'!$D$3:$D$102,'TCO TO BE - HW'!$B$5)+SUMIFS('Rozpočet - HW a licencie'!$I$3:$I$102,'Rozpočet - HW a licencie'!$A$3:$A$102,'TCO TO BE - HW'!M$2,'Rozpočet - HW a licencie'!$C$3:$C$102,"SW pre HW",'Rozpočet - HW a licencie'!$G$3:$G$102,'TCO TO BE - HW'!$D7,'Rozpočet - HW a licencie'!$D$3:$D$102,'TCO TO BE - HW'!$B$5),)</f>
        <v>0</v>
      </c>
      <c r="N7" s="565">
        <f>IFERROR(SUMIFS('Rozpočet - HW a licencie'!$I$3:$I$102,'Rozpočet - HW a licencie'!$A$3:$A$102,'TCO TO BE - HW'!N$2,'Rozpočet - HW a licencie'!$C$3:$C$102,"HW",'Rozpočet - HW a licencie'!$G$3:$G$102,'TCO TO BE - HW'!$D7,'Rozpočet - HW a licencie'!$D$3:$D$102,'TCO TO BE - HW'!$B$5)+SUMIFS('Rozpočet - HW a licencie'!$I$3:$I$102,'Rozpočet - HW a licencie'!$A$3:$A$102,'TCO TO BE - HW'!N$2,'Rozpočet - HW a licencie'!$C$3:$C$102,"SW pre HW",'Rozpočet - HW a licencie'!$G$3:$G$102,'TCO TO BE - HW'!$D7,'Rozpočet - HW a licencie'!$D$3:$D$102,'TCO TO BE - HW'!$B$5),)</f>
        <v>0</v>
      </c>
      <c r="O7" s="565">
        <f>IFERROR(SUMIFS('Rozpočet - HW a licencie'!$I$3:$I$102,'Rozpočet - HW a licencie'!$A$3:$A$102,'TCO TO BE - HW'!O$2,'Rozpočet - HW a licencie'!$C$3:$C$102,"HW",'Rozpočet - HW a licencie'!$G$3:$G$102,'TCO TO BE - HW'!$D7,'Rozpočet - HW a licencie'!$D$3:$D$102,'TCO TO BE - HW'!$B$5)+SUMIFS('Rozpočet - HW a licencie'!$I$3:$I$102,'Rozpočet - HW a licencie'!$A$3:$A$102,'TCO TO BE - HW'!O$2,'Rozpočet - HW a licencie'!$C$3:$C$102,"SW pre HW",'Rozpočet - HW a licencie'!$G$3:$G$102,'TCO TO BE - HW'!$D7,'Rozpočet - HW a licencie'!$D$3:$D$102,'TCO TO BE - HW'!$B$5),)</f>
        <v>0</v>
      </c>
      <c r="P7" s="565">
        <f>IFERROR(SUMIFS('Rozpočet - HW a licencie'!$I$3:$I$102,'Rozpočet - HW a licencie'!$A$3:$A$102,'TCO TO BE - HW'!P$2,'Rozpočet - HW a licencie'!$C$3:$C$102,"HW",'Rozpočet - HW a licencie'!$G$3:$G$102,'TCO TO BE - HW'!$D7,'Rozpočet - HW a licencie'!$D$3:$D$102,'TCO TO BE - HW'!$B$5)+SUMIFS('Rozpočet - HW a licencie'!$I$3:$I$102,'Rozpočet - HW a licencie'!$A$3:$A$102,'TCO TO BE - HW'!P$2,'Rozpočet - HW a licencie'!$C$3:$C$102,"SW pre HW",'Rozpočet - HW a licencie'!$G$3:$G$102,'TCO TO BE - HW'!$D7,'Rozpočet - HW a licencie'!$D$3:$D$102,'TCO TO BE - HW'!$B$5),)</f>
        <v>0</v>
      </c>
      <c r="Q7" s="565">
        <f>IFERROR(SUMIFS('Rozpočet - HW a licencie'!$I$3:$I$102,'Rozpočet - HW a licencie'!$A$3:$A$102,'TCO TO BE - HW'!Q$2,'Rozpočet - HW a licencie'!$C$3:$C$102,"HW",'Rozpočet - HW a licencie'!$G$3:$G$102,'TCO TO BE - HW'!$D7,'Rozpočet - HW a licencie'!$D$3:$D$102,'TCO TO BE - HW'!$B$5)+SUMIFS('Rozpočet - HW a licencie'!$I$3:$I$102,'Rozpočet - HW a licencie'!$A$3:$A$102,'TCO TO BE - HW'!Q$2,'Rozpočet - HW a licencie'!$C$3:$C$102,"SW pre HW",'Rozpočet - HW a licencie'!$G$3:$G$102,'TCO TO BE - HW'!$D7,'Rozpočet - HW a licencie'!$D$3:$D$102,'TCO TO BE - HW'!$B$5),)</f>
        <v>0</v>
      </c>
      <c r="R7" s="565">
        <f>IFERROR(SUMIFS('Rozpočet - HW a licencie'!$I$3:$I$102,'Rozpočet - HW a licencie'!$A$3:$A$102,'TCO TO BE - HW'!R$2,'Rozpočet - HW a licencie'!$C$3:$C$102,"HW",'Rozpočet - HW a licencie'!$G$3:$G$102,'TCO TO BE - HW'!$D7,'Rozpočet - HW a licencie'!$D$3:$D$102,'TCO TO BE - HW'!$B$5)+SUMIFS('Rozpočet - HW a licencie'!$I$3:$I$102,'Rozpočet - HW a licencie'!$A$3:$A$102,'TCO TO BE - HW'!R$2,'Rozpočet - HW a licencie'!$C$3:$C$102,"SW pre HW",'Rozpočet - HW a licencie'!$G$3:$G$102,'TCO TO BE - HW'!$D7,'Rozpočet - HW a licencie'!$D$3:$D$102,'TCO TO BE - HW'!$B$5),)</f>
        <v>0</v>
      </c>
      <c r="S7" s="565">
        <f>IFERROR(SUMIFS('Rozpočet - HW a licencie'!$I$3:$I$102,'Rozpočet - HW a licencie'!$A$3:$A$102,'TCO TO BE - HW'!S$2,'Rozpočet - HW a licencie'!$C$3:$C$102,"HW",'Rozpočet - HW a licencie'!$G$3:$G$102,'TCO TO BE - HW'!$D7,'Rozpočet - HW a licencie'!$D$3:$D$102,'TCO TO BE - HW'!$B$5)+SUMIFS('Rozpočet - HW a licencie'!$I$3:$I$102,'Rozpočet - HW a licencie'!$A$3:$A$102,'TCO TO BE - HW'!S$2,'Rozpočet - HW a licencie'!$C$3:$C$102,"SW pre HW",'Rozpočet - HW a licencie'!$G$3:$G$102,'TCO TO BE - HW'!$D7,'Rozpočet - HW a licencie'!$D$3:$D$102,'TCO TO BE - HW'!$B$5),)</f>
        <v>0</v>
      </c>
      <c r="T7" s="565">
        <f>IFERROR(SUMIFS('Rozpočet - HW a licencie'!$I$3:$I$102,'Rozpočet - HW a licencie'!$A$3:$A$102,'TCO TO BE - HW'!T$2,'Rozpočet - HW a licencie'!$C$3:$C$102,"HW",'Rozpočet - HW a licencie'!$G$3:$G$102,'TCO TO BE - HW'!$D7,'Rozpočet - HW a licencie'!$D$3:$D$102,'TCO TO BE - HW'!$B$5)+SUMIFS('Rozpočet - HW a licencie'!$I$3:$I$102,'Rozpočet - HW a licencie'!$A$3:$A$102,'TCO TO BE - HW'!T$2,'Rozpočet - HW a licencie'!$C$3:$C$102,"SW pre HW",'Rozpočet - HW a licencie'!$G$3:$G$102,'TCO TO BE - HW'!$D7,'Rozpočet - HW a licencie'!$D$3:$D$102,'TCO TO BE - HW'!$B$5),)</f>
        <v>0</v>
      </c>
      <c r="U7" s="565">
        <f>IFERROR(SUMIFS('Rozpočet - HW a licencie'!$I$3:$I$102,'Rozpočet - HW a licencie'!$A$3:$A$102,'TCO TO BE - HW'!U$2,'Rozpočet - HW a licencie'!$C$3:$C$102,"HW",'Rozpočet - HW a licencie'!$G$3:$G$102,'TCO TO BE - HW'!$D7,'Rozpočet - HW a licencie'!$D$3:$D$102,'TCO TO BE - HW'!$B$5)+SUMIFS('Rozpočet - HW a licencie'!$I$3:$I$102,'Rozpočet - HW a licencie'!$A$3:$A$102,'TCO TO BE - HW'!U$2,'Rozpočet - HW a licencie'!$C$3:$C$102,"SW pre HW",'Rozpočet - HW a licencie'!$G$3:$G$102,'TCO TO BE - HW'!$D7,'Rozpočet - HW a licencie'!$D$3:$D$102,'TCO TO BE - HW'!$B$5),)</f>
        <v>0</v>
      </c>
      <c r="V7" s="565">
        <f>IFERROR(SUMIFS('Rozpočet - HW a licencie'!$I$3:$I$102,'Rozpočet - HW a licencie'!$A$3:$A$102,'TCO TO BE - HW'!V$2,'Rozpočet - HW a licencie'!$C$3:$C$102,"HW",'Rozpočet - HW a licencie'!$G$3:$G$102,'TCO TO BE - HW'!$D7,'Rozpočet - HW a licencie'!$D$3:$D$102,'TCO TO BE - HW'!$B$5)+SUMIFS('Rozpočet - HW a licencie'!$I$3:$I$102,'Rozpočet - HW a licencie'!$A$3:$A$102,'TCO TO BE - HW'!V$2,'Rozpočet - HW a licencie'!$C$3:$C$102,"SW pre HW",'Rozpočet - HW a licencie'!$G$3:$G$102,'TCO TO BE - HW'!$D7,'Rozpočet - HW a licencie'!$D$3:$D$102,'TCO TO BE - HW'!$B$5),)</f>
        <v>0</v>
      </c>
      <c r="W7" s="565">
        <f>IFERROR(SUMIFS('Rozpočet - HW a licencie'!$I$3:$I$102,'Rozpočet - HW a licencie'!$A$3:$A$102,'TCO TO BE - HW'!W$2,'Rozpočet - HW a licencie'!$C$3:$C$102,"HW",'Rozpočet - HW a licencie'!$G$3:$G$102,'TCO TO BE - HW'!$D7,'Rozpočet - HW a licencie'!$D$3:$D$102,'TCO TO BE - HW'!$B$5)+SUMIFS('Rozpočet - HW a licencie'!$I$3:$I$102,'Rozpočet - HW a licencie'!$A$3:$A$102,'TCO TO BE - HW'!W$2,'Rozpočet - HW a licencie'!$C$3:$C$102,"SW pre HW",'Rozpočet - HW a licencie'!$G$3:$G$102,'TCO TO BE - HW'!$D7,'Rozpočet - HW a licencie'!$D$3:$D$102,'TCO TO BE - HW'!$B$5),)</f>
        <v>0</v>
      </c>
      <c r="X7" s="565">
        <f>IFERROR(SUMIFS('Rozpočet - HW a licencie'!$I$3:$I$102,'Rozpočet - HW a licencie'!$A$3:$A$102,'TCO TO BE - HW'!X$2,'Rozpočet - HW a licencie'!$C$3:$C$102,"HW",'Rozpočet - HW a licencie'!$G$3:$G$102,'TCO TO BE - HW'!$D7,'Rozpočet - HW a licencie'!$D$3:$D$102,'TCO TO BE - HW'!$B$5)+SUMIFS('Rozpočet - HW a licencie'!$I$3:$I$102,'Rozpočet - HW a licencie'!$A$3:$A$102,'TCO TO BE - HW'!X$2,'Rozpočet - HW a licencie'!$C$3:$C$102,"SW pre HW",'Rozpočet - HW a licencie'!$G$3:$G$102,'TCO TO BE - HW'!$D7,'Rozpočet - HW a licencie'!$D$3:$D$102,'TCO TO BE - HW'!$B$5),)</f>
        <v>0</v>
      </c>
      <c r="Y7" s="565">
        <f>IFERROR(SUMIFS('Rozpočet - HW a licencie'!$I$3:$I$102,'Rozpočet - HW a licencie'!$A$3:$A$102,'TCO TO BE - HW'!Y$2,'Rozpočet - HW a licencie'!$C$3:$C$102,"HW",'Rozpočet - HW a licencie'!$G$3:$G$102,'TCO TO BE - HW'!$D7,'Rozpočet - HW a licencie'!$D$3:$D$102,'TCO TO BE - HW'!$B$5)+SUMIFS('Rozpočet - HW a licencie'!$I$3:$I$102,'Rozpočet - HW a licencie'!$A$3:$A$102,'TCO TO BE - HW'!Y$2,'Rozpočet - HW a licencie'!$C$3:$C$102,"SW pre HW",'Rozpočet - HW a licencie'!$G$3:$G$102,'TCO TO BE - HW'!$D7,'Rozpočet - HW a licencie'!$D$3:$D$102,'TCO TO BE - HW'!$B$5),)</f>
        <v>0</v>
      </c>
      <c r="Z7" s="565">
        <f>IFERROR(SUMIFS('Rozpočet - HW a licencie'!$I$3:$I$102,'Rozpočet - HW a licencie'!$A$3:$A$102,'TCO TO BE - HW'!Z$2,'Rozpočet - HW a licencie'!$C$3:$C$102,"HW",'Rozpočet - HW a licencie'!$G$3:$G$102,'TCO TO BE - HW'!$D7,'Rozpočet - HW a licencie'!$D$3:$D$102,'TCO TO BE - HW'!$B$5)+SUMIFS('Rozpočet - HW a licencie'!$I$3:$I$102,'Rozpočet - HW a licencie'!$A$3:$A$102,'TCO TO BE - HW'!Z$2,'Rozpočet - HW a licencie'!$C$3:$C$102,"SW pre HW",'Rozpočet - HW a licencie'!$G$3:$G$102,'TCO TO BE - HW'!$D7,'Rozpočet - HW a licencie'!$D$3:$D$102,'TCO TO BE - HW'!$B$5),)</f>
        <v>0</v>
      </c>
    </row>
    <row r="8" spans="1:26" outlineLevel="1">
      <c r="A8" s="807"/>
      <c r="B8" s="808"/>
      <c r="C8" s="808"/>
      <c r="D8" s="487">
        <v>4</v>
      </c>
      <c r="E8" s="68">
        <f t="shared" si="2"/>
        <v>0</v>
      </c>
      <c r="F8" s="565">
        <f>IFERROR(SUMIFS('Rozpočet - HW a licencie'!$I$3:$I$102,'Rozpočet - HW a licencie'!$A$3:$A$102,'TCO TO BE - HW'!F$2,'Rozpočet - HW a licencie'!$C$3:$C$102,"HW",'Rozpočet - HW a licencie'!$G$3:$G$102,'TCO TO BE - HW'!$D8,'Rozpočet - HW a licencie'!$D$3:$D$102,'TCO TO BE - HW'!$B$5)+SUMIFS('Rozpočet - HW a licencie'!$I$3:$I$102,'Rozpočet - HW a licencie'!$A$3:$A$102,'TCO TO BE - HW'!F$2,'Rozpočet - HW a licencie'!$C$3:$C$102,"SW pre HW",'Rozpočet - HW a licencie'!$G$3:$G$102,'TCO TO BE - HW'!$D8,'Rozpočet - HW a licencie'!$D$3:$D$102,'TCO TO BE - HW'!$B$5),)</f>
        <v>0</v>
      </c>
      <c r="G8" s="565">
        <f>IFERROR(SUMIFS('Rozpočet - HW a licencie'!$I$3:$I$102,'Rozpočet - HW a licencie'!$A$3:$A$102,'TCO TO BE - HW'!G$2,'Rozpočet - HW a licencie'!$C$3:$C$102,"HW",'Rozpočet - HW a licencie'!$G$3:$G$102,'TCO TO BE - HW'!$D8,'Rozpočet - HW a licencie'!$D$3:$D$102,'TCO TO BE - HW'!$B$5)+SUMIFS('Rozpočet - HW a licencie'!$I$3:$I$102,'Rozpočet - HW a licencie'!$A$3:$A$102,'TCO TO BE - HW'!G$2,'Rozpočet - HW a licencie'!$C$3:$C$102,"SW pre HW",'Rozpočet - HW a licencie'!$G$3:$G$102,'TCO TO BE - HW'!$D8,'Rozpočet - HW a licencie'!$D$3:$D$102,'TCO TO BE - HW'!$B$5),)</f>
        <v>0</v>
      </c>
      <c r="H8" s="565">
        <f>IFERROR(SUMIFS('Rozpočet - HW a licencie'!$I$3:$I$102,'Rozpočet - HW a licencie'!$A$3:$A$102,'TCO TO BE - HW'!H$2,'Rozpočet - HW a licencie'!$C$3:$C$102,"HW",'Rozpočet - HW a licencie'!$G$3:$G$102,'TCO TO BE - HW'!$D8,'Rozpočet - HW a licencie'!$D$3:$D$102,'TCO TO BE - HW'!$B$5)+SUMIFS('Rozpočet - HW a licencie'!$I$3:$I$102,'Rozpočet - HW a licencie'!$A$3:$A$102,'TCO TO BE - HW'!H$2,'Rozpočet - HW a licencie'!$C$3:$C$102,"SW pre HW",'Rozpočet - HW a licencie'!$G$3:$G$102,'TCO TO BE - HW'!$D8,'Rozpočet - HW a licencie'!$D$3:$D$102,'TCO TO BE - HW'!$B$5),)</f>
        <v>0</v>
      </c>
      <c r="I8" s="565">
        <f>IFERROR(SUMIFS('Rozpočet - HW a licencie'!$I$3:$I$102,'Rozpočet - HW a licencie'!$A$3:$A$102,'TCO TO BE - HW'!I$2,'Rozpočet - HW a licencie'!$C$3:$C$102,"HW",'Rozpočet - HW a licencie'!$G$3:$G$102,'TCO TO BE - HW'!$D8,'Rozpočet - HW a licencie'!$D$3:$D$102,'TCO TO BE - HW'!$B$5)+SUMIFS('Rozpočet - HW a licencie'!$I$3:$I$102,'Rozpočet - HW a licencie'!$A$3:$A$102,'TCO TO BE - HW'!I$2,'Rozpočet - HW a licencie'!$C$3:$C$102,"SW pre HW",'Rozpočet - HW a licencie'!$G$3:$G$102,'TCO TO BE - HW'!$D8,'Rozpočet - HW a licencie'!$D$3:$D$102,'TCO TO BE - HW'!$B$5),)</f>
        <v>0</v>
      </c>
      <c r="J8" s="565">
        <f>IFERROR(SUMIFS('Rozpočet - HW a licencie'!$I$3:$I$102,'Rozpočet - HW a licencie'!$A$3:$A$102,'TCO TO BE - HW'!J$2,'Rozpočet - HW a licencie'!$C$3:$C$102,"HW",'Rozpočet - HW a licencie'!$G$3:$G$102,'TCO TO BE - HW'!$D8,'Rozpočet - HW a licencie'!$D$3:$D$102,'TCO TO BE - HW'!$B$5)+SUMIFS('Rozpočet - HW a licencie'!$I$3:$I$102,'Rozpočet - HW a licencie'!$A$3:$A$102,'TCO TO BE - HW'!J$2,'Rozpočet - HW a licencie'!$C$3:$C$102,"SW pre HW",'Rozpočet - HW a licencie'!$G$3:$G$102,'TCO TO BE - HW'!$D8,'Rozpočet - HW a licencie'!$D$3:$D$102,'TCO TO BE - HW'!$B$5),)</f>
        <v>0</v>
      </c>
      <c r="K8" s="565">
        <f>IFERROR(SUMIFS('Rozpočet - HW a licencie'!$I$3:$I$102,'Rozpočet - HW a licencie'!$A$3:$A$102,'TCO TO BE - HW'!K$2,'Rozpočet - HW a licencie'!$C$3:$C$102,"HW",'Rozpočet - HW a licencie'!$G$3:$G$102,'TCO TO BE - HW'!$D8,'Rozpočet - HW a licencie'!$D$3:$D$102,'TCO TO BE - HW'!$B$5)+SUMIFS('Rozpočet - HW a licencie'!$I$3:$I$102,'Rozpočet - HW a licencie'!$A$3:$A$102,'TCO TO BE - HW'!K$2,'Rozpočet - HW a licencie'!$C$3:$C$102,"SW pre HW",'Rozpočet - HW a licencie'!$G$3:$G$102,'TCO TO BE - HW'!$D8,'Rozpočet - HW a licencie'!$D$3:$D$102,'TCO TO BE - HW'!$B$5),)</f>
        <v>0</v>
      </c>
      <c r="L8" s="565">
        <f>IFERROR(SUMIFS('Rozpočet - HW a licencie'!$I$3:$I$102,'Rozpočet - HW a licencie'!$A$3:$A$102,'TCO TO BE - HW'!L$2,'Rozpočet - HW a licencie'!$C$3:$C$102,"HW",'Rozpočet - HW a licencie'!$G$3:$G$102,'TCO TO BE - HW'!$D8,'Rozpočet - HW a licencie'!$D$3:$D$102,'TCO TO BE - HW'!$B$5)+SUMIFS('Rozpočet - HW a licencie'!$I$3:$I$102,'Rozpočet - HW a licencie'!$A$3:$A$102,'TCO TO BE - HW'!L$2,'Rozpočet - HW a licencie'!$C$3:$C$102,"SW pre HW",'Rozpočet - HW a licencie'!$G$3:$G$102,'TCO TO BE - HW'!$D8,'Rozpočet - HW a licencie'!$D$3:$D$102,'TCO TO BE - HW'!$B$5),)</f>
        <v>0</v>
      </c>
      <c r="M8" s="565">
        <f>IFERROR(SUMIFS('Rozpočet - HW a licencie'!$I$3:$I$102,'Rozpočet - HW a licencie'!$A$3:$A$102,'TCO TO BE - HW'!M$2,'Rozpočet - HW a licencie'!$C$3:$C$102,"HW",'Rozpočet - HW a licencie'!$G$3:$G$102,'TCO TO BE - HW'!$D8,'Rozpočet - HW a licencie'!$D$3:$D$102,'TCO TO BE - HW'!$B$5)+SUMIFS('Rozpočet - HW a licencie'!$I$3:$I$102,'Rozpočet - HW a licencie'!$A$3:$A$102,'TCO TO BE - HW'!M$2,'Rozpočet - HW a licencie'!$C$3:$C$102,"SW pre HW",'Rozpočet - HW a licencie'!$G$3:$G$102,'TCO TO BE - HW'!$D8,'Rozpočet - HW a licencie'!$D$3:$D$102,'TCO TO BE - HW'!$B$5),)</f>
        <v>0</v>
      </c>
      <c r="N8" s="565">
        <f>IFERROR(SUMIFS('Rozpočet - HW a licencie'!$I$3:$I$102,'Rozpočet - HW a licencie'!$A$3:$A$102,'TCO TO BE - HW'!N$2,'Rozpočet - HW a licencie'!$C$3:$C$102,"HW",'Rozpočet - HW a licencie'!$G$3:$G$102,'TCO TO BE - HW'!$D8,'Rozpočet - HW a licencie'!$D$3:$D$102,'TCO TO BE - HW'!$B$5)+SUMIFS('Rozpočet - HW a licencie'!$I$3:$I$102,'Rozpočet - HW a licencie'!$A$3:$A$102,'TCO TO BE - HW'!N$2,'Rozpočet - HW a licencie'!$C$3:$C$102,"SW pre HW",'Rozpočet - HW a licencie'!$G$3:$G$102,'TCO TO BE - HW'!$D8,'Rozpočet - HW a licencie'!$D$3:$D$102,'TCO TO BE - HW'!$B$5),)</f>
        <v>0</v>
      </c>
      <c r="O8" s="565">
        <f>IFERROR(SUMIFS('Rozpočet - HW a licencie'!$I$3:$I$102,'Rozpočet - HW a licencie'!$A$3:$A$102,'TCO TO BE - HW'!O$2,'Rozpočet - HW a licencie'!$C$3:$C$102,"HW",'Rozpočet - HW a licencie'!$G$3:$G$102,'TCO TO BE - HW'!$D8,'Rozpočet - HW a licencie'!$D$3:$D$102,'TCO TO BE - HW'!$B$5)+SUMIFS('Rozpočet - HW a licencie'!$I$3:$I$102,'Rozpočet - HW a licencie'!$A$3:$A$102,'TCO TO BE - HW'!O$2,'Rozpočet - HW a licencie'!$C$3:$C$102,"SW pre HW",'Rozpočet - HW a licencie'!$G$3:$G$102,'TCO TO BE - HW'!$D8,'Rozpočet - HW a licencie'!$D$3:$D$102,'TCO TO BE - HW'!$B$5),)</f>
        <v>0</v>
      </c>
      <c r="P8" s="565">
        <f>IFERROR(SUMIFS('Rozpočet - HW a licencie'!$I$3:$I$102,'Rozpočet - HW a licencie'!$A$3:$A$102,'TCO TO BE - HW'!P$2,'Rozpočet - HW a licencie'!$C$3:$C$102,"HW",'Rozpočet - HW a licencie'!$G$3:$G$102,'TCO TO BE - HW'!$D8,'Rozpočet - HW a licencie'!$D$3:$D$102,'TCO TO BE - HW'!$B$5)+SUMIFS('Rozpočet - HW a licencie'!$I$3:$I$102,'Rozpočet - HW a licencie'!$A$3:$A$102,'TCO TO BE - HW'!P$2,'Rozpočet - HW a licencie'!$C$3:$C$102,"SW pre HW",'Rozpočet - HW a licencie'!$G$3:$G$102,'TCO TO BE - HW'!$D8,'Rozpočet - HW a licencie'!$D$3:$D$102,'TCO TO BE - HW'!$B$5),)</f>
        <v>0</v>
      </c>
      <c r="Q8" s="565">
        <f>IFERROR(SUMIFS('Rozpočet - HW a licencie'!$I$3:$I$102,'Rozpočet - HW a licencie'!$A$3:$A$102,'TCO TO BE - HW'!Q$2,'Rozpočet - HW a licencie'!$C$3:$C$102,"HW",'Rozpočet - HW a licencie'!$G$3:$G$102,'TCO TO BE - HW'!$D8,'Rozpočet - HW a licencie'!$D$3:$D$102,'TCO TO BE - HW'!$B$5)+SUMIFS('Rozpočet - HW a licencie'!$I$3:$I$102,'Rozpočet - HW a licencie'!$A$3:$A$102,'TCO TO BE - HW'!Q$2,'Rozpočet - HW a licencie'!$C$3:$C$102,"SW pre HW",'Rozpočet - HW a licencie'!$G$3:$G$102,'TCO TO BE - HW'!$D8,'Rozpočet - HW a licencie'!$D$3:$D$102,'TCO TO BE - HW'!$B$5),)</f>
        <v>0</v>
      </c>
      <c r="R8" s="565">
        <f>IFERROR(SUMIFS('Rozpočet - HW a licencie'!$I$3:$I$102,'Rozpočet - HW a licencie'!$A$3:$A$102,'TCO TO BE - HW'!R$2,'Rozpočet - HW a licencie'!$C$3:$C$102,"HW",'Rozpočet - HW a licencie'!$G$3:$G$102,'TCO TO BE - HW'!$D8,'Rozpočet - HW a licencie'!$D$3:$D$102,'TCO TO BE - HW'!$B$5)+SUMIFS('Rozpočet - HW a licencie'!$I$3:$I$102,'Rozpočet - HW a licencie'!$A$3:$A$102,'TCO TO BE - HW'!R$2,'Rozpočet - HW a licencie'!$C$3:$C$102,"SW pre HW",'Rozpočet - HW a licencie'!$G$3:$G$102,'TCO TO BE - HW'!$D8,'Rozpočet - HW a licencie'!$D$3:$D$102,'TCO TO BE - HW'!$B$5),)</f>
        <v>0</v>
      </c>
      <c r="S8" s="565">
        <f>IFERROR(SUMIFS('Rozpočet - HW a licencie'!$I$3:$I$102,'Rozpočet - HW a licencie'!$A$3:$A$102,'TCO TO BE - HW'!S$2,'Rozpočet - HW a licencie'!$C$3:$C$102,"HW",'Rozpočet - HW a licencie'!$G$3:$G$102,'TCO TO BE - HW'!$D8,'Rozpočet - HW a licencie'!$D$3:$D$102,'TCO TO BE - HW'!$B$5)+SUMIFS('Rozpočet - HW a licencie'!$I$3:$I$102,'Rozpočet - HW a licencie'!$A$3:$A$102,'TCO TO BE - HW'!S$2,'Rozpočet - HW a licencie'!$C$3:$C$102,"SW pre HW",'Rozpočet - HW a licencie'!$G$3:$G$102,'TCO TO BE - HW'!$D8,'Rozpočet - HW a licencie'!$D$3:$D$102,'TCO TO BE - HW'!$B$5),)</f>
        <v>0</v>
      </c>
      <c r="T8" s="565">
        <f>IFERROR(SUMIFS('Rozpočet - HW a licencie'!$I$3:$I$102,'Rozpočet - HW a licencie'!$A$3:$A$102,'TCO TO BE - HW'!T$2,'Rozpočet - HW a licencie'!$C$3:$C$102,"HW",'Rozpočet - HW a licencie'!$G$3:$G$102,'TCO TO BE - HW'!$D8,'Rozpočet - HW a licencie'!$D$3:$D$102,'TCO TO BE - HW'!$B$5)+SUMIFS('Rozpočet - HW a licencie'!$I$3:$I$102,'Rozpočet - HW a licencie'!$A$3:$A$102,'TCO TO BE - HW'!T$2,'Rozpočet - HW a licencie'!$C$3:$C$102,"SW pre HW",'Rozpočet - HW a licencie'!$G$3:$G$102,'TCO TO BE - HW'!$D8,'Rozpočet - HW a licencie'!$D$3:$D$102,'TCO TO BE - HW'!$B$5),)</f>
        <v>0</v>
      </c>
      <c r="U8" s="565">
        <f>IFERROR(SUMIFS('Rozpočet - HW a licencie'!$I$3:$I$102,'Rozpočet - HW a licencie'!$A$3:$A$102,'TCO TO BE - HW'!U$2,'Rozpočet - HW a licencie'!$C$3:$C$102,"HW",'Rozpočet - HW a licencie'!$G$3:$G$102,'TCO TO BE - HW'!$D8,'Rozpočet - HW a licencie'!$D$3:$D$102,'TCO TO BE - HW'!$B$5)+SUMIFS('Rozpočet - HW a licencie'!$I$3:$I$102,'Rozpočet - HW a licencie'!$A$3:$A$102,'TCO TO BE - HW'!U$2,'Rozpočet - HW a licencie'!$C$3:$C$102,"SW pre HW",'Rozpočet - HW a licencie'!$G$3:$G$102,'TCO TO BE - HW'!$D8,'Rozpočet - HW a licencie'!$D$3:$D$102,'TCO TO BE - HW'!$B$5),)</f>
        <v>0</v>
      </c>
      <c r="V8" s="565">
        <f>IFERROR(SUMIFS('Rozpočet - HW a licencie'!$I$3:$I$102,'Rozpočet - HW a licencie'!$A$3:$A$102,'TCO TO BE - HW'!V$2,'Rozpočet - HW a licencie'!$C$3:$C$102,"HW",'Rozpočet - HW a licencie'!$G$3:$G$102,'TCO TO BE - HW'!$D8,'Rozpočet - HW a licencie'!$D$3:$D$102,'TCO TO BE - HW'!$B$5)+SUMIFS('Rozpočet - HW a licencie'!$I$3:$I$102,'Rozpočet - HW a licencie'!$A$3:$A$102,'TCO TO BE - HW'!V$2,'Rozpočet - HW a licencie'!$C$3:$C$102,"SW pre HW",'Rozpočet - HW a licencie'!$G$3:$G$102,'TCO TO BE - HW'!$D8,'Rozpočet - HW a licencie'!$D$3:$D$102,'TCO TO BE - HW'!$B$5),)</f>
        <v>0</v>
      </c>
      <c r="W8" s="565">
        <f>IFERROR(SUMIFS('Rozpočet - HW a licencie'!$I$3:$I$102,'Rozpočet - HW a licencie'!$A$3:$A$102,'TCO TO BE - HW'!W$2,'Rozpočet - HW a licencie'!$C$3:$C$102,"HW",'Rozpočet - HW a licencie'!$G$3:$G$102,'TCO TO BE - HW'!$D8,'Rozpočet - HW a licencie'!$D$3:$D$102,'TCO TO BE - HW'!$B$5)+SUMIFS('Rozpočet - HW a licencie'!$I$3:$I$102,'Rozpočet - HW a licencie'!$A$3:$A$102,'TCO TO BE - HW'!W$2,'Rozpočet - HW a licencie'!$C$3:$C$102,"SW pre HW",'Rozpočet - HW a licencie'!$G$3:$G$102,'TCO TO BE - HW'!$D8,'Rozpočet - HW a licencie'!$D$3:$D$102,'TCO TO BE - HW'!$B$5),)</f>
        <v>0</v>
      </c>
      <c r="X8" s="565">
        <f>IFERROR(SUMIFS('Rozpočet - HW a licencie'!$I$3:$I$102,'Rozpočet - HW a licencie'!$A$3:$A$102,'TCO TO BE - HW'!X$2,'Rozpočet - HW a licencie'!$C$3:$C$102,"HW",'Rozpočet - HW a licencie'!$G$3:$G$102,'TCO TO BE - HW'!$D8,'Rozpočet - HW a licencie'!$D$3:$D$102,'TCO TO BE - HW'!$B$5)+SUMIFS('Rozpočet - HW a licencie'!$I$3:$I$102,'Rozpočet - HW a licencie'!$A$3:$A$102,'TCO TO BE - HW'!X$2,'Rozpočet - HW a licencie'!$C$3:$C$102,"SW pre HW",'Rozpočet - HW a licencie'!$G$3:$G$102,'TCO TO BE - HW'!$D8,'Rozpočet - HW a licencie'!$D$3:$D$102,'TCO TO BE - HW'!$B$5),)</f>
        <v>0</v>
      </c>
      <c r="Y8" s="565">
        <f>IFERROR(SUMIFS('Rozpočet - HW a licencie'!$I$3:$I$102,'Rozpočet - HW a licencie'!$A$3:$A$102,'TCO TO BE - HW'!Y$2,'Rozpočet - HW a licencie'!$C$3:$C$102,"HW",'Rozpočet - HW a licencie'!$G$3:$G$102,'TCO TO BE - HW'!$D8,'Rozpočet - HW a licencie'!$D$3:$D$102,'TCO TO BE - HW'!$B$5)+SUMIFS('Rozpočet - HW a licencie'!$I$3:$I$102,'Rozpočet - HW a licencie'!$A$3:$A$102,'TCO TO BE - HW'!Y$2,'Rozpočet - HW a licencie'!$C$3:$C$102,"SW pre HW",'Rozpočet - HW a licencie'!$G$3:$G$102,'TCO TO BE - HW'!$D8,'Rozpočet - HW a licencie'!$D$3:$D$102,'TCO TO BE - HW'!$B$5),)</f>
        <v>0</v>
      </c>
      <c r="Z8" s="565">
        <f>IFERROR(SUMIFS('Rozpočet - HW a licencie'!$I$3:$I$102,'Rozpočet - HW a licencie'!$A$3:$A$102,'TCO TO BE - HW'!Z$2,'Rozpočet - HW a licencie'!$C$3:$C$102,"HW",'Rozpočet - HW a licencie'!$G$3:$G$102,'TCO TO BE - HW'!$D8,'Rozpočet - HW a licencie'!$D$3:$D$102,'TCO TO BE - HW'!$B$5)+SUMIFS('Rozpočet - HW a licencie'!$I$3:$I$102,'Rozpočet - HW a licencie'!$A$3:$A$102,'TCO TO BE - HW'!Z$2,'Rozpočet - HW a licencie'!$C$3:$C$102,"SW pre HW",'Rozpočet - HW a licencie'!$G$3:$G$102,'TCO TO BE - HW'!$D8,'Rozpočet - HW a licencie'!$D$3:$D$102,'TCO TO BE - HW'!$B$5),)</f>
        <v>0</v>
      </c>
    </row>
    <row r="9" spans="1:26" outlineLevel="1">
      <c r="A9" s="807"/>
      <c r="B9" s="808"/>
      <c r="C9" s="808"/>
      <c r="D9" s="487">
        <v>5</v>
      </c>
      <c r="E9" s="68">
        <f t="shared" si="2"/>
        <v>0</v>
      </c>
      <c r="F9" s="565">
        <f>IFERROR(SUMIFS('Rozpočet - HW a licencie'!$I$3:$I$102,'Rozpočet - HW a licencie'!$A$3:$A$102,'TCO TO BE - HW'!F$2,'Rozpočet - HW a licencie'!$C$3:$C$102,"HW",'Rozpočet - HW a licencie'!$G$3:$G$102,'TCO TO BE - HW'!$D9,'Rozpočet - HW a licencie'!$D$3:$D$102,'TCO TO BE - HW'!$B$5)+SUMIFS('Rozpočet - HW a licencie'!$I$3:$I$102,'Rozpočet - HW a licencie'!$A$3:$A$102,'TCO TO BE - HW'!F$2,'Rozpočet - HW a licencie'!$C$3:$C$102,"SW pre HW",'Rozpočet - HW a licencie'!$G$3:$G$102,'TCO TO BE - HW'!$D9,'Rozpočet - HW a licencie'!$D$3:$D$102,'TCO TO BE - HW'!$B$5),)</f>
        <v>0</v>
      </c>
      <c r="G9" s="565">
        <f>IFERROR(SUMIFS('Rozpočet - HW a licencie'!$I$3:$I$102,'Rozpočet - HW a licencie'!$A$3:$A$102,'TCO TO BE - HW'!G$2,'Rozpočet - HW a licencie'!$C$3:$C$102,"HW",'Rozpočet - HW a licencie'!$G$3:$G$102,'TCO TO BE - HW'!$D9,'Rozpočet - HW a licencie'!$D$3:$D$102,'TCO TO BE - HW'!$B$5)+SUMIFS('Rozpočet - HW a licencie'!$I$3:$I$102,'Rozpočet - HW a licencie'!$A$3:$A$102,'TCO TO BE - HW'!G$2,'Rozpočet - HW a licencie'!$C$3:$C$102,"SW pre HW",'Rozpočet - HW a licencie'!$G$3:$G$102,'TCO TO BE - HW'!$D9,'Rozpočet - HW a licencie'!$D$3:$D$102,'TCO TO BE - HW'!$B$5),)</f>
        <v>0</v>
      </c>
      <c r="H9" s="565">
        <f>IFERROR(SUMIFS('Rozpočet - HW a licencie'!$I$3:$I$102,'Rozpočet - HW a licencie'!$A$3:$A$102,'TCO TO BE - HW'!H$2,'Rozpočet - HW a licencie'!$C$3:$C$102,"HW",'Rozpočet - HW a licencie'!$G$3:$G$102,'TCO TO BE - HW'!$D9,'Rozpočet - HW a licencie'!$D$3:$D$102,'TCO TO BE - HW'!$B$5)+SUMIFS('Rozpočet - HW a licencie'!$I$3:$I$102,'Rozpočet - HW a licencie'!$A$3:$A$102,'TCO TO BE - HW'!H$2,'Rozpočet - HW a licencie'!$C$3:$C$102,"SW pre HW",'Rozpočet - HW a licencie'!$G$3:$G$102,'TCO TO BE - HW'!$D9,'Rozpočet - HW a licencie'!$D$3:$D$102,'TCO TO BE - HW'!$B$5),)</f>
        <v>0</v>
      </c>
      <c r="I9" s="565">
        <f>IFERROR(SUMIFS('Rozpočet - HW a licencie'!$I$3:$I$102,'Rozpočet - HW a licencie'!$A$3:$A$102,'TCO TO BE - HW'!I$2,'Rozpočet - HW a licencie'!$C$3:$C$102,"HW",'Rozpočet - HW a licencie'!$G$3:$G$102,'TCO TO BE - HW'!$D9,'Rozpočet - HW a licencie'!$D$3:$D$102,'TCO TO BE - HW'!$B$5)+SUMIFS('Rozpočet - HW a licencie'!$I$3:$I$102,'Rozpočet - HW a licencie'!$A$3:$A$102,'TCO TO BE - HW'!I$2,'Rozpočet - HW a licencie'!$C$3:$C$102,"SW pre HW",'Rozpočet - HW a licencie'!$G$3:$G$102,'TCO TO BE - HW'!$D9,'Rozpočet - HW a licencie'!$D$3:$D$102,'TCO TO BE - HW'!$B$5),)</f>
        <v>0</v>
      </c>
      <c r="J9" s="565">
        <f>IFERROR(SUMIFS('Rozpočet - HW a licencie'!$I$3:$I$102,'Rozpočet - HW a licencie'!$A$3:$A$102,'TCO TO BE - HW'!J$2,'Rozpočet - HW a licencie'!$C$3:$C$102,"HW",'Rozpočet - HW a licencie'!$G$3:$G$102,'TCO TO BE - HW'!$D9,'Rozpočet - HW a licencie'!$D$3:$D$102,'TCO TO BE - HW'!$B$5)+SUMIFS('Rozpočet - HW a licencie'!$I$3:$I$102,'Rozpočet - HW a licencie'!$A$3:$A$102,'TCO TO BE - HW'!J$2,'Rozpočet - HW a licencie'!$C$3:$C$102,"SW pre HW",'Rozpočet - HW a licencie'!$G$3:$G$102,'TCO TO BE - HW'!$D9,'Rozpočet - HW a licencie'!$D$3:$D$102,'TCO TO BE - HW'!$B$5),)</f>
        <v>0</v>
      </c>
      <c r="K9" s="565">
        <f>IFERROR(SUMIFS('Rozpočet - HW a licencie'!$I$3:$I$102,'Rozpočet - HW a licencie'!$A$3:$A$102,'TCO TO BE - HW'!K$2,'Rozpočet - HW a licencie'!$C$3:$C$102,"HW",'Rozpočet - HW a licencie'!$G$3:$G$102,'TCO TO BE - HW'!$D9,'Rozpočet - HW a licencie'!$D$3:$D$102,'TCO TO BE - HW'!$B$5)+SUMIFS('Rozpočet - HW a licencie'!$I$3:$I$102,'Rozpočet - HW a licencie'!$A$3:$A$102,'TCO TO BE - HW'!K$2,'Rozpočet - HW a licencie'!$C$3:$C$102,"SW pre HW",'Rozpočet - HW a licencie'!$G$3:$G$102,'TCO TO BE - HW'!$D9,'Rozpočet - HW a licencie'!$D$3:$D$102,'TCO TO BE - HW'!$B$5),)</f>
        <v>0</v>
      </c>
      <c r="L9" s="565">
        <f>IFERROR(SUMIFS('Rozpočet - HW a licencie'!$I$3:$I$102,'Rozpočet - HW a licencie'!$A$3:$A$102,'TCO TO BE - HW'!L$2,'Rozpočet - HW a licencie'!$C$3:$C$102,"HW",'Rozpočet - HW a licencie'!$G$3:$G$102,'TCO TO BE - HW'!$D9,'Rozpočet - HW a licencie'!$D$3:$D$102,'TCO TO BE - HW'!$B$5)+SUMIFS('Rozpočet - HW a licencie'!$I$3:$I$102,'Rozpočet - HW a licencie'!$A$3:$A$102,'TCO TO BE - HW'!L$2,'Rozpočet - HW a licencie'!$C$3:$C$102,"SW pre HW",'Rozpočet - HW a licencie'!$G$3:$G$102,'TCO TO BE - HW'!$D9,'Rozpočet - HW a licencie'!$D$3:$D$102,'TCO TO BE - HW'!$B$5),)</f>
        <v>0</v>
      </c>
      <c r="M9" s="565">
        <f>IFERROR(SUMIFS('Rozpočet - HW a licencie'!$I$3:$I$102,'Rozpočet - HW a licencie'!$A$3:$A$102,'TCO TO BE - HW'!M$2,'Rozpočet - HW a licencie'!$C$3:$C$102,"HW",'Rozpočet - HW a licencie'!$G$3:$G$102,'TCO TO BE - HW'!$D9,'Rozpočet - HW a licencie'!$D$3:$D$102,'TCO TO BE - HW'!$B$5)+SUMIFS('Rozpočet - HW a licencie'!$I$3:$I$102,'Rozpočet - HW a licencie'!$A$3:$A$102,'TCO TO BE - HW'!M$2,'Rozpočet - HW a licencie'!$C$3:$C$102,"SW pre HW",'Rozpočet - HW a licencie'!$G$3:$G$102,'TCO TO BE - HW'!$D9,'Rozpočet - HW a licencie'!$D$3:$D$102,'TCO TO BE - HW'!$B$5),)</f>
        <v>0</v>
      </c>
      <c r="N9" s="565">
        <f>IFERROR(SUMIFS('Rozpočet - HW a licencie'!$I$3:$I$102,'Rozpočet - HW a licencie'!$A$3:$A$102,'TCO TO BE - HW'!N$2,'Rozpočet - HW a licencie'!$C$3:$C$102,"HW",'Rozpočet - HW a licencie'!$G$3:$G$102,'TCO TO BE - HW'!$D9,'Rozpočet - HW a licencie'!$D$3:$D$102,'TCO TO BE - HW'!$B$5)+SUMIFS('Rozpočet - HW a licencie'!$I$3:$I$102,'Rozpočet - HW a licencie'!$A$3:$A$102,'TCO TO BE - HW'!N$2,'Rozpočet - HW a licencie'!$C$3:$C$102,"SW pre HW",'Rozpočet - HW a licencie'!$G$3:$G$102,'TCO TO BE - HW'!$D9,'Rozpočet - HW a licencie'!$D$3:$D$102,'TCO TO BE - HW'!$B$5),)</f>
        <v>0</v>
      </c>
      <c r="O9" s="565">
        <f>IFERROR(SUMIFS('Rozpočet - HW a licencie'!$I$3:$I$102,'Rozpočet - HW a licencie'!$A$3:$A$102,'TCO TO BE - HW'!O$2,'Rozpočet - HW a licencie'!$C$3:$C$102,"HW",'Rozpočet - HW a licencie'!$G$3:$G$102,'TCO TO BE - HW'!$D9,'Rozpočet - HW a licencie'!$D$3:$D$102,'TCO TO BE - HW'!$B$5)+SUMIFS('Rozpočet - HW a licencie'!$I$3:$I$102,'Rozpočet - HW a licencie'!$A$3:$A$102,'TCO TO BE - HW'!O$2,'Rozpočet - HW a licencie'!$C$3:$C$102,"SW pre HW",'Rozpočet - HW a licencie'!$G$3:$G$102,'TCO TO BE - HW'!$D9,'Rozpočet - HW a licencie'!$D$3:$D$102,'TCO TO BE - HW'!$B$5),)</f>
        <v>0</v>
      </c>
      <c r="P9" s="565">
        <f>IFERROR(SUMIFS('Rozpočet - HW a licencie'!$I$3:$I$102,'Rozpočet - HW a licencie'!$A$3:$A$102,'TCO TO BE - HW'!P$2,'Rozpočet - HW a licencie'!$C$3:$C$102,"HW",'Rozpočet - HW a licencie'!$G$3:$G$102,'TCO TO BE - HW'!$D9,'Rozpočet - HW a licencie'!$D$3:$D$102,'TCO TO BE - HW'!$B$5)+SUMIFS('Rozpočet - HW a licencie'!$I$3:$I$102,'Rozpočet - HW a licencie'!$A$3:$A$102,'TCO TO BE - HW'!P$2,'Rozpočet - HW a licencie'!$C$3:$C$102,"SW pre HW",'Rozpočet - HW a licencie'!$G$3:$G$102,'TCO TO BE - HW'!$D9,'Rozpočet - HW a licencie'!$D$3:$D$102,'TCO TO BE - HW'!$B$5),)</f>
        <v>0</v>
      </c>
      <c r="Q9" s="565">
        <f>IFERROR(SUMIFS('Rozpočet - HW a licencie'!$I$3:$I$102,'Rozpočet - HW a licencie'!$A$3:$A$102,'TCO TO BE - HW'!Q$2,'Rozpočet - HW a licencie'!$C$3:$C$102,"HW",'Rozpočet - HW a licencie'!$G$3:$G$102,'TCO TO BE - HW'!$D9,'Rozpočet - HW a licencie'!$D$3:$D$102,'TCO TO BE - HW'!$B$5)+SUMIFS('Rozpočet - HW a licencie'!$I$3:$I$102,'Rozpočet - HW a licencie'!$A$3:$A$102,'TCO TO BE - HW'!Q$2,'Rozpočet - HW a licencie'!$C$3:$C$102,"SW pre HW",'Rozpočet - HW a licencie'!$G$3:$G$102,'TCO TO BE - HW'!$D9,'Rozpočet - HW a licencie'!$D$3:$D$102,'TCO TO BE - HW'!$B$5),)</f>
        <v>0</v>
      </c>
      <c r="R9" s="565">
        <f>IFERROR(SUMIFS('Rozpočet - HW a licencie'!$I$3:$I$102,'Rozpočet - HW a licencie'!$A$3:$A$102,'TCO TO BE - HW'!R$2,'Rozpočet - HW a licencie'!$C$3:$C$102,"HW",'Rozpočet - HW a licencie'!$G$3:$G$102,'TCO TO BE - HW'!$D9,'Rozpočet - HW a licencie'!$D$3:$D$102,'TCO TO BE - HW'!$B$5)+SUMIFS('Rozpočet - HW a licencie'!$I$3:$I$102,'Rozpočet - HW a licencie'!$A$3:$A$102,'TCO TO BE - HW'!R$2,'Rozpočet - HW a licencie'!$C$3:$C$102,"SW pre HW",'Rozpočet - HW a licencie'!$G$3:$G$102,'TCO TO BE - HW'!$D9,'Rozpočet - HW a licencie'!$D$3:$D$102,'TCO TO BE - HW'!$B$5),)</f>
        <v>0</v>
      </c>
      <c r="S9" s="565">
        <f>IFERROR(SUMIFS('Rozpočet - HW a licencie'!$I$3:$I$102,'Rozpočet - HW a licencie'!$A$3:$A$102,'TCO TO BE - HW'!S$2,'Rozpočet - HW a licencie'!$C$3:$C$102,"HW",'Rozpočet - HW a licencie'!$G$3:$G$102,'TCO TO BE - HW'!$D9,'Rozpočet - HW a licencie'!$D$3:$D$102,'TCO TO BE - HW'!$B$5)+SUMIFS('Rozpočet - HW a licencie'!$I$3:$I$102,'Rozpočet - HW a licencie'!$A$3:$A$102,'TCO TO BE - HW'!S$2,'Rozpočet - HW a licencie'!$C$3:$C$102,"SW pre HW",'Rozpočet - HW a licencie'!$G$3:$G$102,'TCO TO BE - HW'!$D9,'Rozpočet - HW a licencie'!$D$3:$D$102,'TCO TO BE - HW'!$B$5),)</f>
        <v>0</v>
      </c>
      <c r="T9" s="565">
        <f>IFERROR(SUMIFS('Rozpočet - HW a licencie'!$I$3:$I$102,'Rozpočet - HW a licencie'!$A$3:$A$102,'TCO TO BE - HW'!T$2,'Rozpočet - HW a licencie'!$C$3:$C$102,"HW",'Rozpočet - HW a licencie'!$G$3:$G$102,'TCO TO BE - HW'!$D9,'Rozpočet - HW a licencie'!$D$3:$D$102,'TCO TO BE - HW'!$B$5)+SUMIFS('Rozpočet - HW a licencie'!$I$3:$I$102,'Rozpočet - HW a licencie'!$A$3:$A$102,'TCO TO BE - HW'!T$2,'Rozpočet - HW a licencie'!$C$3:$C$102,"SW pre HW",'Rozpočet - HW a licencie'!$G$3:$G$102,'TCO TO BE - HW'!$D9,'Rozpočet - HW a licencie'!$D$3:$D$102,'TCO TO BE - HW'!$B$5),)</f>
        <v>0</v>
      </c>
      <c r="U9" s="565">
        <f>IFERROR(SUMIFS('Rozpočet - HW a licencie'!$I$3:$I$102,'Rozpočet - HW a licencie'!$A$3:$A$102,'TCO TO BE - HW'!U$2,'Rozpočet - HW a licencie'!$C$3:$C$102,"HW",'Rozpočet - HW a licencie'!$G$3:$G$102,'TCO TO BE - HW'!$D9,'Rozpočet - HW a licencie'!$D$3:$D$102,'TCO TO BE - HW'!$B$5)+SUMIFS('Rozpočet - HW a licencie'!$I$3:$I$102,'Rozpočet - HW a licencie'!$A$3:$A$102,'TCO TO BE - HW'!U$2,'Rozpočet - HW a licencie'!$C$3:$C$102,"SW pre HW",'Rozpočet - HW a licencie'!$G$3:$G$102,'TCO TO BE - HW'!$D9,'Rozpočet - HW a licencie'!$D$3:$D$102,'TCO TO BE - HW'!$B$5),)</f>
        <v>0</v>
      </c>
      <c r="V9" s="565">
        <f>IFERROR(SUMIFS('Rozpočet - HW a licencie'!$I$3:$I$102,'Rozpočet - HW a licencie'!$A$3:$A$102,'TCO TO BE - HW'!V$2,'Rozpočet - HW a licencie'!$C$3:$C$102,"HW",'Rozpočet - HW a licencie'!$G$3:$G$102,'TCO TO BE - HW'!$D9,'Rozpočet - HW a licencie'!$D$3:$D$102,'TCO TO BE - HW'!$B$5)+SUMIFS('Rozpočet - HW a licencie'!$I$3:$I$102,'Rozpočet - HW a licencie'!$A$3:$A$102,'TCO TO BE - HW'!V$2,'Rozpočet - HW a licencie'!$C$3:$C$102,"SW pre HW",'Rozpočet - HW a licencie'!$G$3:$G$102,'TCO TO BE - HW'!$D9,'Rozpočet - HW a licencie'!$D$3:$D$102,'TCO TO BE - HW'!$B$5),)</f>
        <v>0</v>
      </c>
      <c r="W9" s="565">
        <f>IFERROR(SUMIFS('Rozpočet - HW a licencie'!$I$3:$I$102,'Rozpočet - HW a licencie'!$A$3:$A$102,'TCO TO BE - HW'!W$2,'Rozpočet - HW a licencie'!$C$3:$C$102,"HW",'Rozpočet - HW a licencie'!$G$3:$G$102,'TCO TO BE - HW'!$D9,'Rozpočet - HW a licencie'!$D$3:$D$102,'TCO TO BE - HW'!$B$5)+SUMIFS('Rozpočet - HW a licencie'!$I$3:$I$102,'Rozpočet - HW a licencie'!$A$3:$A$102,'TCO TO BE - HW'!W$2,'Rozpočet - HW a licencie'!$C$3:$C$102,"SW pre HW",'Rozpočet - HW a licencie'!$G$3:$G$102,'TCO TO BE - HW'!$D9,'Rozpočet - HW a licencie'!$D$3:$D$102,'TCO TO BE - HW'!$B$5),)</f>
        <v>0</v>
      </c>
      <c r="X9" s="565">
        <f>IFERROR(SUMIFS('Rozpočet - HW a licencie'!$I$3:$I$102,'Rozpočet - HW a licencie'!$A$3:$A$102,'TCO TO BE - HW'!X$2,'Rozpočet - HW a licencie'!$C$3:$C$102,"HW",'Rozpočet - HW a licencie'!$G$3:$G$102,'TCO TO BE - HW'!$D9,'Rozpočet - HW a licencie'!$D$3:$D$102,'TCO TO BE - HW'!$B$5)+SUMIFS('Rozpočet - HW a licencie'!$I$3:$I$102,'Rozpočet - HW a licencie'!$A$3:$A$102,'TCO TO BE - HW'!X$2,'Rozpočet - HW a licencie'!$C$3:$C$102,"SW pre HW",'Rozpočet - HW a licencie'!$G$3:$G$102,'TCO TO BE - HW'!$D9,'Rozpočet - HW a licencie'!$D$3:$D$102,'TCO TO BE - HW'!$B$5),)</f>
        <v>0</v>
      </c>
      <c r="Y9" s="565">
        <f>IFERROR(SUMIFS('Rozpočet - HW a licencie'!$I$3:$I$102,'Rozpočet - HW a licencie'!$A$3:$A$102,'TCO TO BE - HW'!Y$2,'Rozpočet - HW a licencie'!$C$3:$C$102,"HW",'Rozpočet - HW a licencie'!$G$3:$G$102,'TCO TO BE - HW'!$D9,'Rozpočet - HW a licencie'!$D$3:$D$102,'TCO TO BE - HW'!$B$5)+SUMIFS('Rozpočet - HW a licencie'!$I$3:$I$102,'Rozpočet - HW a licencie'!$A$3:$A$102,'TCO TO BE - HW'!Y$2,'Rozpočet - HW a licencie'!$C$3:$C$102,"SW pre HW",'Rozpočet - HW a licencie'!$G$3:$G$102,'TCO TO BE - HW'!$D9,'Rozpočet - HW a licencie'!$D$3:$D$102,'TCO TO BE - HW'!$B$5),)</f>
        <v>0</v>
      </c>
      <c r="Z9" s="565">
        <f>IFERROR(SUMIFS('Rozpočet - HW a licencie'!$I$3:$I$102,'Rozpočet - HW a licencie'!$A$3:$A$102,'TCO TO BE - HW'!Z$2,'Rozpočet - HW a licencie'!$C$3:$C$102,"HW",'Rozpočet - HW a licencie'!$G$3:$G$102,'TCO TO BE - HW'!$D9,'Rozpočet - HW a licencie'!$D$3:$D$102,'TCO TO BE - HW'!$B$5)+SUMIFS('Rozpočet - HW a licencie'!$I$3:$I$102,'Rozpočet - HW a licencie'!$A$3:$A$102,'TCO TO BE - HW'!Z$2,'Rozpočet - HW a licencie'!$C$3:$C$102,"SW pre HW",'Rozpočet - HW a licencie'!$G$3:$G$102,'TCO TO BE - HW'!$D9,'Rozpočet - HW a licencie'!$D$3:$D$102,'TCO TO BE - HW'!$B$5),)</f>
        <v>0</v>
      </c>
    </row>
    <row r="10" spans="1:26" outlineLevel="1">
      <c r="A10" s="807"/>
      <c r="B10" s="808"/>
      <c r="C10" s="808"/>
      <c r="D10" s="487">
        <v>6</v>
      </c>
      <c r="E10" s="68">
        <f t="shared" si="2"/>
        <v>0</v>
      </c>
      <c r="F10" s="565">
        <f>IFERROR(SUMIFS('Rozpočet - HW a licencie'!$I$3:$I$102,'Rozpočet - HW a licencie'!$A$3:$A$102,'TCO TO BE - HW'!F$2,'Rozpočet - HW a licencie'!$C$3:$C$102,"HW",'Rozpočet - HW a licencie'!$G$3:$G$102,'TCO TO BE - HW'!$D10,'Rozpočet - HW a licencie'!$D$3:$D$102,'TCO TO BE - HW'!$B$5)+SUMIFS('Rozpočet - HW a licencie'!$I$3:$I$102,'Rozpočet - HW a licencie'!$A$3:$A$102,'TCO TO BE - HW'!F$2,'Rozpočet - HW a licencie'!$C$3:$C$102,"SW pre HW",'Rozpočet - HW a licencie'!$G$3:$G$102,'TCO TO BE - HW'!$D10,'Rozpočet - HW a licencie'!$D$3:$D$102,'TCO TO BE - HW'!$B$5),)</f>
        <v>0</v>
      </c>
      <c r="G10" s="565">
        <f>IFERROR(SUMIFS('Rozpočet - HW a licencie'!$I$3:$I$102,'Rozpočet - HW a licencie'!$A$3:$A$102,'TCO TO BE - HW'!G$2,'Rozpočet - HW a licencie'!$C$3:$C$102,"HW",'Rozpočet - HW a licencie'!$G$3:$G$102,'TCO TO BE - HW'!$D10,'Rozpočet - HW a licencie'!$D$3:$D$102,'TCO TO BE - HW'!$B$5)+SUMIFS('Rozpočet - HW a licencie'!$I$3:$I$102,'Rozpočet - HW a licencie'!$A$3:$A$102,'TCO TO BE - HW'!G$2,'Rozpočet - HW a licencie'!$C$3:$C$102,"SW pre HW",'Rozpočet - HW a licencie'!$G$3:$G$102,'TCO TO BE - HW'!$D10,'Rozpočet - HW a licencie'!$D$3:$D$102,'TCO TO BE - HW'!$B$5),)</f>
        <v>0</v>
      </c>
      <c r="H10" s="565">
        <f>IFERROR(SUMIFS('Rozpočet - HW a licencie'!$I$3:$I$102,'Rozpočet - HW a licencie'!$A$3:$A$102,'TCO TO BE - HW'!H$2,'Rozpočet - HW a licencie'!$C$3:$C$102,"HW",'Rozpočet - HW a licencie'!$G$3:$G$102,'TCO TO BE - HW'!$D10,'Rozpočet - HW a licencie'!$D$3:$D$102,'TCO TO BE - HW'!$B$5)+SUMIFS('Rozpočet - HW a licencie'!$I$3:$I$102,'Rozpočet - HW a licencie'!$A$3:$A$102,'TCO TO BE - HW'!H$2,'Rozpočet - HW a licencie'!$C$3:$C$102,"SW pre HW",'Rozpočet - HW a licencie'!$G$3:$G$102,'TCO TO BE - HW'!$D10,'Rozpočet - HW a licencie'!$D$3:$D$102,'TCO TO BE - HW'!$B$5),)</f>
        <v>0</v>
      </c>
      <c r="I10" s="565">
        <f>IFERROR(SUMIFS('Rozpočet - HW a licencie'!$I$3:$I$102,'Rozpočet - HW a licencie'!$A$3:$A$102,'TCO TO BE - HW'!I$2,'Rozpočet - HW a licencie'!$C$3:$C$102,"HW",'Rozpočet - HW a licencie'!$G$3:$G$102,'TCO TO BE - HW'!$D10,'Rozpočet - HW a licencie'!$D$3:$D$102,'TCO TO BE - HW'!$B$5)+SUMIFS('Rozpočet - HW a licencie'!$I$3:$I$102,'Rozpočet - HW a licencie'!$A$3:$A$102,'TCO TO BE - HW'!I$2,'Rozpočet - HW a licencie'!$C$3:$C$102,"SW pre HW",'Rozpočet - HW a licencie'!$G$3:$G$102,'TCO TO BE - HW'!$D10,'Rozpočet - HW a licencie'!$D$3:$D$102,'TCO TO BE - HW'!$B$5),)</f>
        <v>0</v>
      </c>
      <c r="J10" s="565">
        <f>IFERROR(SUMIFS('Rozpočet - HW a licencie'!$I$3:$I$102,'Rozpočet - HW a licencie'!$A$3:$A$102,'TCO TO BE - HW'!J$2,'Rozpočet - HW a licencie'!$C$3:$C$102,"HW",'Rozpočet - HW a licencie'!$G$3:$G$102,'TCO TO BE - HW'!$D10,'Rozpočet - HW a licencie'!$D$3:$D$102,'TCO TO BE - HW'!$B$5)+SUMIFS('Rozpočet - HW a licencie'!$I$3:$I$102,'Rozpočet - HW a licencie'!$A$3:$A$102,'TCO TO BE - HW'!J$2,'Rozpočet - HW a licencie'!$C$3:$C$102,"SW pre HW",'Rozpočet - HW a licencie'!$G$3:$G$102,'TCO TO BE - HW'!$D10,'Rozpočet - HW a licencie'!$D$3:$D$102,'TCO TO BE - HW'!$B$5),)</f>
        <v>0</v>
      </c>
      <c r="K10" s="565">
        <f>IFERROR(SUMIFS('Rozpočet - HW a licencie'!$I$3:$I$102,'Rozpočet - HW a licencie'!$A$3:$A$102,'TCO TO BE - HW'!K$2,'Rozpočet - HW a licencie'!$C$3:$C$102,"HW",'Rozpočet - HW a licencie'!$G$3:$G$102,'TCO TO BE - HW'!$D10,'Rozpočet - HW a licencie'!$D$3:$D$102,'TCO TO BE - HW'!$B$5)+SUMIFS('Rozpočet - HW a licencie'!$I$3:$I$102,'Rozpočet - HW a licencie'!$A$3:$A$102,'TCO TO BE - HW'!K$2,'Rozpočet - HW a licencie'!$C$3:$C$102,"SW pre HW",'Rozpočet - HW a licencie'!$G$3:$G$102,'TCO TO BE - HW'!$D10,'Rozpočet - HW a licencie'!$D$3:$D$102,'TCO TO BE - HW'!$B$5),)</f>
        <v>0</v>
      </c>
      <c r="L10" s="565">
        <f>IFERROR(SUMIFS('Rozpočet - HW a licencie'!$I$3:$I$102,'Rozpočet - HW a licencie'!$A$3:$A$102,'TCO TO BE - HW'!L$2,'Rozpočet - HW a licencie'!$C$3:$C$102,"HW",'Rozpočet - HW a licencie'!$G$3:$G$102,'TCO TO BE - HW'!$D10,'Rozpočet - HW a licencie'!$D$3:$D$102,'TCO TO BE - HW'!$B$5)+SUMIFS('Rozpočet - HW a licencie'!$I$3:$I$102,'Rozpočet - HW a licencie'!$A$3:$A$102,'TCO TO BE - HW'!L$2,'Rozpočet - HW a licencie'!$C$3:$C$102,"SW pre HW",'Rozpočet - HW a licencie'!$G$3:$G$102,'TCO TO BE - HW'!$D10,'Rozpočet - HW a licencie'!$D$3:$D$102,'TCO TO BE - HW'!$B$5),)</f>
        <v>0</v>
      </c>
      <c r="M10" s="565">
        <f>IFERROR(SUMIFS('Rozpočet - HW a licencie'!$I$3:$I$102,'Rozpočet - HW a licencie'!$A$3:$A$102,'TCO TO BE - HW'!M$2,'Rozpočet - HW a licencie'!$C$3:$C$102,"HW",'Rozpočet - HW a licencie'!$G$3:$G$102,'TCO TO BE - HW'!$D10,'Rozpočet - HW a licencie'!$D$3:$D$102,'TCO TO BE - HW'!$B$5)+SUMIFS('Rozpočet - HW a licencie'!$I$3:$I$102,'Rozpočet - HW a licencie'!$A$3:$A$102,'TCO TO BE - HW'!M$2,'Rozpočet - HW a licencie'!$C$3:$C$102,"SW pre HW",'Rozpočet - HW a licencie'!$G$3:$G$102,'TCO TO BE - HW'!$D10,'Rozpočet - HW a licencie'!$D$3:$D$102,'TCO TO BE - HW'!$B$5),)</f>
        <v>0</v>
      </c>
      <c r="N10" s="565">
        <f>IFERROR(SUMIFS('Rozpočet - HW a licencie'!$I$3:$I$102,'Rozpočet - HW a licencie'!$A$3:$A$102,'TCO TO BE - HW'!N$2,'Rozpočet - HW a licencie'!$C$3:$C$102,"HW",'Rozpočet - HW a licencie'!$G$3:$G$102,'TCO TO BE - HW'!$D10,'Rozpočet - HW a licencie'!$D$3:$D$102,'TCO TO BE - HW'!$B$5)+SUMIFS('Rozpočet - HW a licencie'!$I$3:$I$102,'Rozpočet - HW a licencie'!$A$3:$A$102,'TCO TO BE - HW'!N$2,'Rozpočet - HW a licencie'!$C$3:$C$102,"SW pre HW",'Rozpočet - HW a licencie'!$G$3:$G$102,'TCO TO BE - HW'!$D10,'Rozpočet - HW a licencie'!$D$3:$D$102,'TCO TO BE - HW'!$B$5),)</f>
        <v>0</v>
      </c>
      <c r="O10" s="565">
        <f>IFERROR(SUMIFS('Rozpočet - HW a licencie'!$I$3:$I$102,'Rozpočet - HW a licencie'!$A$3:$A$102,'TCO TO BE - HW'!O$2,'Rozpočet - HW a licencie'!$C$3:$C$102,"HW",'Rozpočet - HW a licencie'!$G$3:$G$102,'TCO TO BE - HW'!$D10,'Rozpočet - HW a licencie'!$D$3:$D$102,'TCO TO BE - HW'!$B$5)+SUMIFS('Rozpočet - HW a licencie'!$I$3:$I$102,'Rozpočet - HW a licencie'!$A$3:$A$102,'TCO TO BE - HW'!O$2,'Rozpočet - HW a licencie'!$C$3:$C$102,"SW pre HW",'Rozpočet - HW a licencie'!$G$3:$G$102,'TCO TO BE - HW'!$D10,'Rozpočet - HW a licencie'!$D$3:$D$102,'TCO TO BE - HW'!$B$5),)</f>
        <v>0</v>
      </c>
      <c r="P10" s="565">
        <f>IFERROR(SUMIFS('Rozpočet - HW a licencie'!$I$3:$I$102,'Rozpočet - HW a licencie'!$A$3:$A$102,'TCO TO BE - HW'!P$2,'Rozpočet - HW a licencie'!$C$3:$C$102,"HW",'Rozpočet - HW a licencie'!$G$3:$G$102,'TCO TO BE - HW'!$D10,'Rozpočet - HW a licencie'!$D$3:$D$102,'TCO TO BE - HW'!$B$5)+SUMIFS('Rozpočet - HW a licencie'!$I$3:$I$102,'Rozpočet - HW a licencie'!$A$3:$A$102,'TCO TO BE - HW'!P$2,'Rozpočet - HW a licencie'!$C$3:$C$102,"SW pre HW",'Rozpočet - HW a licencie'!$G$3:$G$102,'TCO TO BE - HW'!$D10,'Rozpočet - HW a licencie'!$D$3:$D$102,'TCO TO BE - HW'!$B$5),)</f>
        <v>0</v>
      </c>
      <c r="Q10" s="565">
        <f>IFERROR(SUMIFS('Rozpočet - HW a licencie'!$I$3:$I$102,'Rozpočet - HW a licencie'!$A$3:$A$102,'TCO TO BE - HW'!Q$2,'Rozpočet - HW a licencie'!$C$3:$C$102,"HW",'Rozpočet - HW a licencie'!$G$3:$G$102,'TCO TO BE - HW'!$D10,'Rozpočet - HW a licencie'!$D$3:$D$102,'TCO TO BE - HW'!$B$5)+SUMIFS('Rozpočet - HW a licencie'!$I$3:$I$102,'Rozpočet - HW a licencie'!$A$3:$A$102,'TCO TO BE - HW'!Q$2,'Rozpočet - HW a licencie'!$C$3:$C$102,"SW pre HW",'Rozpočet - HW a licencie'!$G$3:$G$102,'TCO TO BE - HW'!$D10,'Rozpočet - HW a licencie'!$D$3:$D$102,'TCO TO BE - HW'!$B$5),)</f>
        <v>0</v>
      </c>
      <c r="R10" s="565">
        <f>IFERROR(SUMIFS('Rozpočet - HW a licencie'!$I$3:$I$102,'Rozpočet - HW a licencie'!$A$3:$A$102,'TCO TO BE - HW'!R$2,'Rozpočet - HW a licencie'!$C$3:$C$102,"HW",'Rozpočet - HW a licencie'!$G$3:$G$102,'TCO TO BE - HW'!$D10,'Rozpočet - HW a licencie'!$D$3:$D$102,'TCO TO BE - HW'!$B$5)+SUMIFS('Rozpočet - HW a licencie'!$I$3:$I$102,'Rozpočet - HW a licencie'!$A$3:$A$102,'TCO TO BE - HW'!R$2,'Rozpočet - HW a licencie'!$C$3:$C$102,"SW pre HW",'Rozpočet - HW a licencie'!$G$3:$G$102,'TCO TO BE - HW'!$D10,'Rozpočet - HW a licencie'!$D$3:$D$102,'TCO TO BE - HW'!$B$5),)</f>
        <v>0</v>
      </c>
      <c r="S10" s="565">
        <f>IFERROR(SUMIFS('Rozpočet - HW a licencie'!$I$3:$I$102,'Rozpočet - HW a licencie'!$A$3:$A$102,'TCO TO BE - HW'!S$2,'Rozpočet - HW a licencie'!$C$3:$C$102,"HW",'Rozpočet - HW a licencie'!$G$3:$G$102,'TCO TO BE - HW'!$D10,'Rozpočet - HW a licencie'!$D$3:$D$102,'TCO TO BE - HW'!$B$5)+SUMIFS('Rozpočet - HW a licencie'!$I$3:$I$102,'Rozpočet - HW a licencie'!$A$3:$A$102,'TCO TO BE - HW'!S$2,'Rozpočet - HW a licencie'!$C$3:$C$102,"SW pre HW",'Rozpočet - HW a licencie'!$G$3:$G$102,'TCO TO BE - HW'!$D10,'Rozpočet - HW a licencie'!$D$3:$D$102,'TCO TO BE - HW'!$B$5),)</f>
        <v>0</v>
      </c>
      <c r="T10" s="565">
        <f>IFERROR(SUMIFS('Rozpočet - HW a licencie'!$I$3:$I$102,'Rozpočet - HW a licencie'!$A$3:$A$102,'TCO TO BE - HW'!T$2,'Rozpočet - HW a licencie'!$C$3:$C$102,"HW",'Rozpočet - HW a licencie'!$G$3:$G$102,'TCO TO BE - HW'!$D10,'Rozpočet - HW a licencie'!$D$3:$D$102,'TCO TO BE - HW'!$B$5)+SUMIFS('Rozpočet - HW a licencie'!$I$3:$I$102,'Rozpočet - HW a licencie'!$A$3:$A$102,'TCO TO BE - HW'!T$2,'Rozpočet - HW a licencie'!$C$3:$C$102,"SW pre HW",'Rozpočet - HW a licencie'!$G$3:$G$102,'TCO TO BE - HW'!$D10,'Rozpočet - HW a licencie'!$D$3:$D$102,'TCO TO BE - HW'!$B$5),)</f>
        <v>0</v>
      </c>
      <c r="U10" s="565">
        <f>IFERROR(SUMIFS('Rozpočet - HW a licencie'!$I$3:$I$102,'Rozpočet - HW a licencie'!$A$3:$A$102,'TCO TO BE - HW'!U$2,'Rozpočet - HW a licencie'!$C$3:$C$102,"HW",'Rozpočet - HW a licencie'!$G$3:$G$102,'TCO TO BE - HW'!$D10,'Rozpočet - HW a licencie'!$D$3:$D$102,'TCO TO BE - HW'!$B$5)+SUMIFS('Rozpočet - HW a licencie'!$I$3:$I$102,'Rozpočet - HW a licencie'!$A$3:$A$102,'TCO TO BE - HW'!U$2,'Rozpočet - HW a licencie'!$C$3:$C$102,"SW pre HW",'Rozpočet - HW a licencie'!$G$3:$G$102,'TCO TO BE - HW'!$D10,'Rozpočet - HW a licencie'!$D$3:$D$102,'TCO TO BE - HW'!$B$5),)</f>
        <v>0</v>
      </c>
      <c r="V10" s="565">
        <f>IFERROR(SUMIFS('Rozpočet - HW a licencie'!$I$3:$I$102,'Rozpočet - HW a licencie'!$A$3:$A$102,'TCO TO BE - HW'!V$2,'Rozpočet - HW a licencie'!$C$3:$C$102,"HW",'Rozpočet - HW a licencie'!$G$3:$G$102,'TCO TO BE - HW'!$D10,'Rozpočet - HW a licencie'!$D$3:$D$102,'TCO TO BE - HW'!$B$5)+SUMIFS('Rozpočet - HW a licencie'!$I$3:$I$102,'Rozpočet - HW a licencie'!$A$3:$A$102,'TCO TO BE - HW'!V$2,'Rozpočet - HW a licencie'!$C$3:$C$102,"SW pre HW",'Rozpočet - HW a licencie'!$G$3:$G$102,'TCO TO BE - HW'!$D10,'Rozpočet - HW a licencie'!$D$3:$D$102,'TCO TO BE - HW'!$B$5),)</f>
        <v>0</v>
      </c>
      <c r="W10" s="565">
        <f>IFERROR(SUMIFS('Rozpočet - HW a licencie'!$I$3:$I$102,'Rozpočet - HW a licencie'!$A$3:$A$102,'TCO TO BE - HW'!W$2,'Rozpočet - HW a licencie'!$C$3:$C$102,"HW",'Rozpočet - HW a licencie'!$G$3:$G$102,'TCO TO BE - HW'!$D10,'Rozpočet - HW a licencie'!$D$3:$D$102,'TCO TO BE - HW'!$B$5)+SUMIFS('Rozpočet - HW a licencie'!$I$3:$I$102,'Rozpočet - HW a licencie'!$A$3:$A$102,'TCO TO BE - HW'!W$2,'Rozpočet - HW a licencie'!$C$3:$C$102,"SW pre HW",'Rozpočet - HW a licencie'!$G$3:$G$102,'TCO TO BE - HW'!$D10,'Rozpočet - HW a licencie'!$D$3:$D$102,'TCO TO BE - HW'!$B$5),)</f>
        <v>0</v>
      </c>
      <c r="X10" s="565">
        <f>IFERROR(SUMIFS('Rozpočet - HW a licencie'!$I$3:$I$102,'Rozpočet - HW a licencie'!$A$3:$A$102,'TCO TO BE - HW'!X$2,'Rozpočet - HW a licencie'!$C$3:$C$102,"HW",'Rozpočet - HW a licencie'!$G$3:$G$102,'TCO TO BE - HW'!$D10,'Rozpočet - HW a licencie'!$D$3:$D$102,'TCO TO BE - HW'!$B$5)+SUMIFS('Rozpočet - HW a licencie'!$I$3:$I$102,'Rozpočet - HW a licencie'!$A$3:$A$102,'TCO TO BE - HW'!X$2,'Rozpočet - HW a licencie'!$C$3:$C$102,"SW pre HW",'Rozpočet - HW a licencie'!$G$3:$G$102,'TCO TO BE - HW'!$D10,'Rozpočet - HW a licencie'!$D$3:$D$102,'TCO TO BE - HW'!$B$5),)</f>
        <v>0</v>
      </c>
      <c r="Y10" s="565">
        <f>IFERROR(SUMIFS('Rozpočet - HW a licencie'!$I$3:$I$102,'Rozpočet - HW a licencie'!$A$3:$A$102,'TCO TO BE - HW'!Y$2,'Rozpočet - HW a licencie'!$C$3:$C$102,"HW",'Rozpočet - HW a licencie'!$G$3:$G$102,'TCO TO BE - HW'!$D10,'Rozpočet - HW a licencie'!$D$3:$D$102,'TCO TO BE - HW'!$B$5)+SUMIFS('Rozpočet - HW a licencie'!$I$3:$I$102,'Rozpočet - HW a licencie'!$A$3:$A$102,'TCO TO BE - HW'!Y$2,'Rozpočet - HW a licencie'!$C$3:$C$102,"SW pre HW",'Rozpočet - HW a licencie'!$G$3:$G$102,'TCO TO BE - HW'!$D10,'Rozpočet - HW a licencie'!$D$3:$D$102,'TCO TO BE - HW'!$B$5),)</f>
        <v>0</v>
      </c>
      <c r="Z10" s="565">
        <f>IFERROR(SUMIFS('Rozpočet - HW a licencie'!$I$3:$I$102,'Rozpočet - HW a licencie'!$A$3:$A$102,'TCO TO BE - HW'!Z$2,'Rozpočet - HW a licencie'!$C$3:$C$102,"HW",'Rozpočet - HW a licencie'!$G$3:$G$102,'TCO TO BE - HW'!$D10,'Rozpočet - HW a licencie'!$D$3:$D$102,'TCO TO BE - HW'!$B$5)+SUMIFS('Rozpočet - HW a licencie'!$I$3:$I$102,'Rozpočet - HW a licencie'!$A$3:$A$102,'TCO TO BE - HW'!Z$2,'Rozpočet - HW a licencie'!$C$3:$C$102,"SW pre HW",'Rozpočet - HW a licencie'!$G$3:$G$102,'TCO TO BE - HW'!$D10,'Rozpočet - HW a licencie'!$D$3:$D$102,'TCO TO BE - HW'!$B$5),)</f>
        <v>0</v>
      </c>
    </row>
    <row r="11" spans="1:26" outlineLevel="1">
      <c r="A11" s="807"/>
      <c r="B11" s="808"/>
      <c r="C11" s="808"/>
      <c r="D11" s="487">
        <v>7</v>
      </c>
      <c r="E11" s="68">
        <f t="shared" si="2"/>
        <v>0</v>
      </c>
      <c r="F11" s="565">
        <f>IFERROR(SUMIFS('Rozpočet - HW a licencie'!$I$3:$I$102,'Rozpočet - HW a licencie'!$A$3:$A$102,'TCO TO BE - HW'!F$2,'Rozpočet - HW a licencie'!$C$3:$C$102,"HW",'Rozpočet - HW a licencie'!$G$3:$G$102,'TCO TO BE - HW'!$D11,'Rozpočet - HW a licencie'!$D$3:$D$102,'TCO TO BE - HW'!$B$5)+SUMIFS('Rozpočet - HW a licencie'!$I$3:$I$102,'Rozpočet - HW a licencie'!$A$3:$A$102,'TCO TO BE - HW'!F$2,'Rozpočet - HW a licencie'!$C$3:$C$102,"SW pre HW",'Rozpočet - HW a licencie'!$G$3:$G$102,'TCO TO BE - HW'!$D11,'Rozpočet - HW a licencie'!$D$3:$D$102,'TCO TO BE - HW'!$B$5),)</f>
        <v>0</v>
      </c>
      <c r="G11" s="565">
        <f>IFERROR(SUMIFS('Rozpočet - HW a licencie'!$I$3:$I$102,'Rozpočet - HW a licencie'!$A$3:$A$102,'TCO TO BE - HW'!G$2,'Rozpočet - HW a licencie'!$C$3:$C$102,"HW",'Rozpočet - HW a licencie'!$G$3:$G$102,'TCO TO BE - HW'!$D11,'Rozpočet - HW a licencie'!$D$3:$D$102,'TCO TO BE - HW'!$B$5)+SUMIFS('Rozpočet - HW a licencie'!$I$3:$I$102,'Rozpočet - HW a licencie'!$A$3:$A$102,'TCO TO BE - HW'!G$2,'Rozpočet - HW a licencie'!$C$3:$C$102,"SW pre HW",'Rozpočet - HW a licencie'!$G$3:$G$102,'TCO TO BE - HW'!$D11,'Rozpočet - HW a licencie'!$D$3:$D$102,'TCO TO BE - HW'!$B$5),)</f>
        <v>0</v>
      </c>
      <c r="H11" s="565">
        <f>IFERROR(SUMIFS('Rozpočet - HW a licencie'!$I$3:$I$102,'Rozpočet - HW a licencie'!$A$3:$A$102,'TCO TO BE - HW'!H$2,'Rozpočet - HW a licencie'!$C$3:$C$102,"HW",'Rozpočet - HW a licencie'!$G$3:$G$102,'TCO TO BE - HW'!$D11,'Rozpočet - HW a licencie'!$D$3:$D$102,'TCO TO BE - HW'!$B$5)+SUMIFS('Rozpočet - HW a licencie'!$I$3:$I$102,'Rozpočet - HW a licencie'!$A$3:$A$102,'TCO TO BE - HW'!H$2,'Rozpočet - HW a licencie'!$C$3:$C$102,"SW pre HW",'Rozpočet - HW a licencie'!$G$3:$G$102,'TCO TO BE - HW'!$D11,'Rozpočet - HW a licencie'!$D$3:$D$102,'TCO TO BE - HW'!$B$5),)</f>
        <v>0</v>
      </c>
      <c r="I11" s="565">
        <f>IFERROR(SUMIFS('Rozpočet - HW a licencie'!$I$3:$I$102,'Rozpočet - HW a licencie'!$A$3:$A$102,'TCO TO BE - HW'!I$2,'Rozpočet - HW a licencie'!$C$3:$C$102,"HW",'Rozpočet - HW a licencie'!$G$3:$G$102,'TCO TO BE - HW'!$D11,'Rozpočet - HW a licencie'!$D$3:$D$102,'TCO TO BE - HW'!$B$5)+SUMIFS('Rozpočet - HW a licencie'!$I$3:$I$102,'Rozpočet - HW a licencie'!$A$3:$A$102,'TCO TO BE - HW'!I$2,'Rozpočet - HW a licencie'!$C$3:$C$102,"SW pre HW",'Rozpočet - HW a licencie'!$G$3:$G$102,'TCO TO BE - HW'!$D11,'Rozpočet - HW a licencie'!$D$3:$D$102,'TCO TO BE - HW'!$B$5),)</f>
        <v>0</v>
      </c>
      <c r="J11" s="565">
        <f>IFERROR(SUMIFS('Rozpočet - HW a licencie'!$I$3:$I$102,'Rozpočet - HW a licencie'!$A$3:$A$102,'TCO TO BE - HW'!J$2,'Rozpočet - HW a licencie'!$C$3:$C$102,"HW",'Rozpočet - HW a licencie'!$G$3:$G$102,'TCO TO BE - HW'!$D11,'Rozpočet - HW a licencie'!$D$3:$D$102,'TCO TO BE - HW'!$B$5)+SUMIFS('Rozpočet - HW a licencie'!$I$3:$I$102,'Rozpočet - HW a licencie'!$A$3:$A$102,'TCO TO BE - HW'!J$2,'Rozpočet - HW a licencie'!$C$3:$C$102,"SW pre HW",'Rozpočet - HW a licencie'!$G$3:$G$102,'TCO TO BE - HW'!$D11,'Rozpočet - HW a licencie'!$D$3:$D$102,'TCO TO BE - HW'!$B$5),)</f>
        <v>0</v>
      </c>
      <c r="K11" s="565">
        <f>IFERROR(SUMIFS('Rozpočet - HW a licencie'!$I$3:$I$102,'Rozpočet - HW a licencie'!$A$3:$A$102,'TCO TO BE - HW'!K$2,'Rozpočet - HW a licencie'!$C$3:$C$102,"HW",'Rozpočet - HW a licencie'!$G$3:$G$102,'TCO TO BE - HW'!$D11,'Rozpočet - HW a licencie'!$D$3:$D$102,'TCO TO BE - HW'!$B$5)+SUMIFS('Rozpočet - HW a licencie'!$I$3:$I$102,'Rozpočet - HW a licencie'!$A$3:$A$102,'TCO TO BE - HW'!K$2,'Rozpočet - HW a licencie'!$C$3:$C$102,"SW pre HW",'Rozpočet - HW a licencie'!$G$3:$G$102,'TCO TO BE - HW'!$D11,'Rozpočet - HW a licencie'!$D$3:$D$102,'TCO TO BE - HW'!$B$5),)</f>
        <v>0</v>
      </c>
      <c r="L11" s="565">
        <f>IFERROR(SUMIFS('Rozpočet - HW a licencie'!$I$3:$I$102,'Rozpočet - HW a licencie'!$A$3:$A$102,'TCO TO BE - HW'!L$2,'Rozpočet - HW a licencie'!$C$3:$C$102,"HW",'Rozpočet - HW a licencie'!$G$3:$G$102,'TCO TO BE - HW'!$D11,'Rozpočet - HW a licencie'!$D$3:$D$102,'TCO TO BE - HW'!$B$5)+SUMIFS('Rozpočet - HW a licencie'!$I$3:$I$102,'Rozpočet - HW a licencie'!$A$3:$A$102,'TCO TO BE - HW'!L$2,'Rozpočet - HW a licencie'!$C$3:$C$102,"SW pre HW",'Rozpočet - HW a licencie'!$G$3:$G$102,'TCO TO BE - HW'!$D11,'Rozpočet - HW a licencie'!$D$3:$D$102,'TCO TO BE - HW'!$B$5),)</f>
        <v>0</v>
      </c>
      <c r="M11" s="565">
        <f>IFERROR(SUMIFS('Rozpočet - HW a licencie'!$I$3:$I$102,'Rozpočet - HW a licencie'!$A$3:$A$102,'TCO TO BE - HW'!M$2,'Rozpočet - HW a licencie'!$C$3:$C$102,"HW",'Rozpočet - HW a licencie'!$G$3:$G$102,'TCO TO BE - HW'!$D11,'Rozpočet - HW a licencie'!$D$3:$D$102,'TCO TO BE - HW'!$B$5)+SUMIFS('Rozpočet - HW a licencie'!$I$3:$I$102,'Rozpočet - HW a licencie'!$A$3:$A$102,'TCO TO BE - HW'!M$2,'Rozpočet - HW a licencie'!$C$3:$C$102,"SW pre HW",'Rozpočet - HW a licencie'!$G$3:$G$102,'TCO TO BE - HW'!$D11,'Rozpočet - HW a licencie'!$D$3:$D$102,'TCO TO BE - HW'!$B$5),)</f>
        <v>0</v>
      </c>
      <c r="N11" s="565">
        <f>IFERROR(SUMIFS('Rozpočet - HW a licencie'!$I$3:$I$102,'Rozpočet - HW a licencie'!$A$3:$A$102,'TCO TO BE - HW'!N$2,'Rozpočet - HW a licencie'!$C$3:$C$102,"HW",'Rozpočet - HW a licencie'!$G$3:$G$102,'TCO TO BE - HW'!$D11,'Rozpočet - HW a licencie'!$D$3:$D$102,'TCO TO BE - HW'!$B$5)+SUMIFS('Rozpočet - HW a licencie'!$I$3:$I$102,'Rozpočet - HW a licencie'!$A$3:$A$102,'TCO TO BE - HW'!N$2,'Rozpočet - HW a licencie'!$C$3:$C$102,"SW pre HW",'Rozpočet - HW a licencie'!$G$3:$G$102,'TCO TO BE - HW'!$D11,'Rozpočet - HW a licencie'!$D$3:$D$102,'TCO TO BE - HW'!$B$5),)</f>
        <v>0</v>
      </c>
      <c r="O11" s="565">
        <f>IFERROR(SUMIFS('Rozpočet - HW a licencie'!$I$3:$I$102,'Rozpočet - HW a licencie'!$A$3:$A$102,'TCO TO BE - HW'!O$2,'Rozpočet - HW a licencie'!$C$3:$C$102,"HW",'Rozpočet - HW a licencie'!$G$3:$G$102,'TCO TO BE - HW'!$D11,'Rozpočet - HW a licencie'!$D$3:$D$102,'TCO TO BE - HW'!$B$5)+SUMIFS('Rozpočet - HW a licencie'!$I$3:$I$102,'Rozpočet - HW a licencie'!$A$3:$A$102,'TCO TO BE - HW'!O$2,'Rozpočet - HW a licencie'!$C$3:$C$102,"SW pre HW",'Rozpočet - HW a licencie'!$G$3:$G$102,'TCO TO BE - HW'!$D11,'Rozpočet - HW a licencie'!$D$3:$D$102,'TCO TO BE - HW'!$B$5),)</f>
        <v>0</v>
      </c>
      <c r="P11" s="565">
        <f>IFERROR(SUMIFS('Rozpočet - HW a licencie'!$I$3:$I$102,'Rozpočet - HW a licencie'!$A$3:$A$102,'TCO TO BE - HW'!P$2,'Rozpočet - HW a licencie'!$C$3:$C$102,"HW",'Rozpočet - HW a licencie'!$G$3:$G$102,'TCO TO BE - HW'!$D11,'Rozpočet - HW a licencie'!$D$3:$D$102,'TCO TO BE - HW'!$B$5)+SUMIFS('Rozpočet - HW a licencie'!$I$3:$I$102,'Rozpočet - HW a licencie'!$A$3:$A$102,'TCO TO BE - HW'!P$2,'Rozpočet - HW a licencie'!$C$3:$C$102,"SW pre HW",'Rozpočet - HW a licencie'!$G$3:$G$102,'TCO TO BE - HW'!$D11,'Rozpočet - HW a licencie'!$D$3:$D$102,'TCO TO BE - HW'!$B$5),)</f>
        <v>0</v>
      </c>
      <c r="Q11" s="565">
        <f>IFERROR(SUMIFS('Rozpočet - HW a licencie'!$I$3:$I$102,'Rozpočet - HW a licencie'!$A$3:$A$102,'TCO TO BE - HW'!Q$2,'Rozpočet - HW a licencie'!$C$3:$C$102,"HW",'Rozpočet - HW a licencie'!$G$3:$G$102,'TCO TO BE - HW'!$D11,'Rozpočet - HW a licencie'!$D$3:$D$102,'TCO TO BE - HW'!$B$5)+SUMIFS('Rozpočet - HW a licencie'!$I$3:$I$102,'Rozpočet - HW a licencie'!$A$3:$A$102,'TCO TO BE - HW'!Q$2,'Rozpočet - HW a licencie'!$C$3:$C$102,"SW pre HW",'Rozpočet - HW a licencie'!$G$3:$G$102,'TCO TO BE - HW'!$D11,'Rozpočet - HW a licencie'!$D$3:$D$102,'TCO TO BE - HW'!$B$5),)</f>
        <v>0</v>
      </c>
      <c r="R11" s="565">
        <f>IFERROR(SUMIFS('Rozpočet - HW a licencie'!$I$3:$I$102,'Rozpočet - HW a licencie'!$A$3:$A$102,'TCO TO BE - HW'!R$2,'Rozpočet - HW a licencie'!$C$3:$C$102,"HW",'Rozpočet - HW a licencie'!$G$3:$G$102,'TCO TO BE - HW'!$D11,'Rozpočet - HW a licencie'!$D$3:$D$102,'TCO TO BE - HW'!$B$5)+SUMIFS('Rozpočet - HW a licencie'!$I$3:$I$102,'Rozpočet - HW a licencie'!$A$3:$A$102,'TCO TO BE - HW'!R$2,'Rozpočet - HW a licencie'!$C$3:$C$102,"SW pre HW",'Rozpočet - HW a licencie'!$G$3:$G$102,'TCO TO BE - HW'!$D11,'Rozpočet - HW a licencie'!$D$3:$D$102,'TCO TO BE - HW'!$B$5),)</f>
        <v>0</v>
      </c>
      <c r="S11" s="565">
        <f>IFERROR(SUMIFS('Rozpočet - HW a licencie'!$I$3:$I$102,'Rozpočet - HW a licencie'!$A$3:$A$102,'TCO TO BE - HW'!S$2,'Rozpočet - HW a licencie'!$C$3:$C$102,"HW",'Rozpočet - HW a licencie'!$G$3:$G$102,'TCO TO BE - HW'!$D11,'Rozpočet - HW a licencie'!$D$3:$D$102,'TCO TO BE - HW'!$B$5)+SUMIFS('Rozpočet - HW a licencie'!$I$3:$I$102,'Rozpočet - HW a licencie'!$A$3:$A$102,'TCO TO BE - HW'!S$2,'Rozpočet - HW a licencie'!$C$3:$C$102,"SW pre HW",'Rozpočet - HW a licencie'!$G$3:$G$102,'TCO TO BE - HW'!$D11,'Rozpočet - HW a licencie'!$D$3:$D$102,'TCO TO BE - HW'!$B$5),)</f>
        <v>0</v>
      </c>
      <c r="T11" s="565">
        <f>IFERROR(SUMIFS('Rozpočet - HW a licencie'!$I$3:$I$102,'Rozpočet - HW a licencie'!$A$3:$A$102,'TCO TO BE - HW'!T$2,'Rozpočet - HW a licencie'!$C$3:$C$102,"HW",'Rozpočet - HW a licencie'!$G$3:$G$102,'TCO TO BE - HW'!$D11,'Rozpočet - HW a licencie'!$D$3:$D$102,'TCO TO BE - HW'!$B$5)+SUMIFS('Rozpočet - HW a licencie'!$I$3:$I$102,'Rozpočet - HW a licencie'!$A$3:$A$102,'TCO TO BE - HW'!T$2,'Rozpočet - HW a licencie'!$C$3:$C$102,"SW pre HW",'Rozpočet - HW a licencie'!$G$3:$G$102,'TCO TO BE - HW'!$D11,'Rozpočet - HW a licencie'!$D$3:$D$102,'TCO TO BE - HW'!$B$5),)</f>
        <v>0</v>
      </c>
      <c r="U11" s="565">
        <f>IFERROR(SUMIFS('Rozpočet - HW a licencie'!$I$3:$I$102,'Rozpočet - HW a licencie'!$A$3:$A$102,'TCO TO BE - HW'!U$2,'Rozpočet - HW a licencie'!$C$3:$C$102,"HW",'Rozpočet - HW a licencie'!$G$3:$G$102,'TCO TO BE - HW'!$D11,'Rozpočet - HW a licencie'!$D$3:$D$102,'TCO TO BE - HW'!$B$5)+SUMIFS('Rozpočet - HW a licencie'!$I$3:$I$102,'Rozpočet - HW a licencie'!$A$3:$A$102,'TCO TO BE - HW'!U$2,'Rozpočet - HW a licencie'!$C$3:$C$102,"SW pre HW",'Rozpočet - HW a licencie'!$G$3:$G$102,'TCO TO BE - HW'!$D11,'Rozpočet - HW a licencie'!$D$3:$D$102,'TCO TO BE - HW'!$B$5),)</f>
        <v>0</v>
      </c>
      <c r="V11" s="565">
        <f>IFERROR(SUMIFS('Rozpočet - HW a licencie'!$I$3:$I$102,'Rozpočet - HW a licencie'!$A$3:$A$102,'TCO TO BE - HW'!V$2,'Rozpočet - HW a licencie'!$C$3:$C$102,"HW",'Rozpočet - HW a licencie'!$G$3:$G$102,'TCO TO BE - HW'!$D11,'Rozpočet - HW a licencie'!$D$3:$D$102,'TCO TO BE - HW'!$B$5)+SUMIFS('Rozpočet - HW a licencie'!$I$3:$I$102,'Rozpočet - HW a licencie'!$A$3:$A$102,'TCO TO BE - HW'!V$2,'Rozpočet - HW a licencie'!$C$3:$C$102,"SW pre HW",'Rozpočet - HW a licencie'!$G$3:$G$102,'TCO TO BE - HW'!$D11,'Rozpočet - HW a licencie'!$D$3:$D$102,'TCO TO BE - HW'!$B$5),)</f>
        <v>0</v>
      </c>
      <c r="W11" s="565">
        <f>IFERROR(SUMIFS('Rozpočet - HW a licencie'!$I$3:$I$102,'Rozpočet - HW a licencie'!$A$3:$A$102,'TCO TO BE - HW'!W$2,'Rozpočet - HW a licencie'!$C$3:$C$102,"HW",'Rozpočet - HW a licencie'!$G$3:$G$102,'TCO TO BE - HW'!$D11,'Rozpočet - HW a licencie'!$D$3:$D$102,'TCO TO BE - HW'!$B$5)+SUMIFS('Rozpočet - HW a licencie'!$I$3:$I$102,'Rozpočet - HW a licencie'!$A$3:$A$102,'TCO TO BE - HW'!W$2,'Rozpočet - HW a licencie'!$C$3:$C$102,"SW pre HW",'Rozpočet - HW a licencie'!$G$3:$G$102,'TCO TO BE - HW'!$D11,'Rozpočet - HW a licencie'!$D$3:$D$102,'TCO TO BE - HW'!$B$5),)</f>
        <v>0</v>
      </c>
      <c r="X11" s="565">
        <f>IFERROR(SUMIFS('Rozpočet - HW a licencie'!$I$3:$I$102,'Rozpočet - HW a licencie'!$A$3:$A$102,'TCO TO BE - HW'!X$2,'Rozpočet - HW a licencie'!$C$3:$C$102,"HW",'Rozpočet - HW a licencie'!$G$3:$G$102,'TCO TO BE - HW'!$D11,'Rozpočet - HW a licencie'!$D$3:$D$102,'TCO TO BE - HW'!$B$5)+SUMIFS('Rozpočet - HW a licencie'!$I$3:$I$102,'Rozpočet - HW a licencie'!$A$3:$A$102,'TCO TO BE - HW'!X$2,'Rozpočet - HW a licencie'!$C$3:$C$102,"SW pre HW",'Rozpočet - HW a licencie'!$G$3:$G$102,'TCO TO BE - HW'!$D11,'Rozpočet - HW a licencie'!$D$3:$D$102,'TCO TO BE - HW'!$B$5),)</f>
        <v>0</v>
      </c>
      <c r="Y11" s="565">
        <f>IFERROR(SUMIFS('Rozpočet - HW a licencie'!$I$3:$I$102,'Rozpočet - HW a licencie'!$A$3:$A$102,'TCO TO BE - HW'!Y$2,'Rozpočet - HW a licencie'!$C$3:$C$102,"HW",'Rozpočet - HW a licencie'!$G$3:$G$102,'TCO TO BE - HW'!$D11,'Rozpočet - HW a licencie'!$D$3:$D$102,'TCO TO BE - HW'!$B$5)+SUMIFS('Rozpočet - HW a licencie'!$I$3:$I$102,'Rozpočet - HW a licencie'!$A$3:$A$102,'TCO TO BE - HW'!Y$2,'Rozpočet - HW a licencie'!$C$3:$C$102,"SW pre HW",'Rozpočet - HW a licencie'!$G$3:$G$102,'TCO TO BE - HW'!$D11,'Rozpočet - HW a licencie'!$D$3:$D$102,'TCO TO BE - HW'!$B$5),)</f>
        <v>0</v>
      </c>
      <c r="Z11" s="565">
        <f>IFERROR(SUMIFS('Rozpočet - HW a licencie'!$I$3:$I$102,'Rozpočet - HW a licencie'!$A$3:$A$102,'TCO TO BE - HW'!Z$2,'Rozpočet - HW a licencie'!$C$3:$C$102,"HW",'Rozpočet - HW a licencie'!$G$3:$G$102,'TCO TO BE - HW'!$D11,'Rozpočet - HW a licencie'!$D$3:$D$102,'TCO TO BE - HW'!$B$5)+SUMIFS('Rozpočet - HW a licencie'!$I$3:$I$102,'Rozpočet - HW a licencie'!$A$3:$A$102,'TCO TO BE - HW'!Z$2,'Rozpočet - HW a licencie'!$C$3:$C$102,"SW pre HW",'Rozpočet - HW a licencie'!$G$3:$G$102,'TCO TO BE - HW'!$D11,'Rozpočet - HW a licencie'!$D$3:$D$102,'TCO TO BE - HW'!$B$5),)</f>
        <v>0</v>
      </c>
    </row>
    <row r="12" spans="1:26" outlineLevel="1">
      <c r="A12" s="807"/>
      <c r="B12" s="808"/>
      <c r="C12" s="808"/>
      <c r="D12" s="487">
        <v>8</v>
      </c>
      <c r="E12" s="68">
        <f t="shared" si="2"/>
        <v>0</v>
      </c>
      <c r="F12" s="565">
        <f>IFERROR(SUMIFS('Rozpočet - HW a licencie'!$I$3:$I$102,'Rozpočet - HW a licencie'!$A$3:$A$102,'TCO TO BE - HW'!F$2,'Rozpočet - HW a licencie'!$C$3:$C$102,"HW",'Rozpočet - HW a licencie'!$G$3:$G$102,'TCO TO BE - HW'!$D12,'Rozpočet - HW a licencie'!$D$3:$D$102,'TCO TO BE - HW'!$B$5)+SUMIFS('Rozpočet - HW a licencie'!$I$3:$I$102,'Rozpočet - HW a licencie'!$A$3:$A$102,'TCO TO BE - HW'!F$2,'Rozpočet - HW a licencie'!$C$3:$C$102,"SW pre HW",'Rozpočet - HW a licencie'!$G$3:$G$102,'TCO TO BE - HW'!$D12,'Rozpočet - HW a licencie'!$D$3:$D$102,'TCO TO BE - HW'!$B$5),)</f>
        <v>0</v>
      </c>
      <c r="G12" s="565">
        <f>IFERROR(SUMIFS('Rozpočet - HW a licencie'!$I$3:$I$102,'Rozpočet - HW a licencie'!$A$3:$A$102,'TCO TO BE - HW'!G$2,'Rozpočet - HW a licencie'!$C$3:$C$102,"HW",'Rozpočet - HW a licencie'!$G$3:$G$102,'TCO TO BE - HW'!$D12,'Rozpočet - HW a licencie'!$D$3:$D$102,'TCO TO BE - HW'!$B$5)+SUMIFS('Rozpočet - HW a licencie'!$I$3:$I$102,'Rozpočet - HW a licencie'!$A$3:$A$102,'TCO TO BE - HW'!G$2,'Rozpočet - HW a licencie'!$C$3:$C$102,"SW pre HW",'Rozpočet - HW a licencie'!$G$3:$G$102,'TCO TO BE - HW'!$D12,'Rozpočet - HW a licencie'!$D$3:$D$102,'TCO TO BE - HW'!$B$5),)</f>
        <v>0</v>
      </c>
      <c r="H12" s="565">
        <f>IFERROR(SUMIFS('Rozpočet - HW a licencie'!$I$3:$I$102,'Rozpočet - HW a licencie'!$A$3:$A$102,'TCO TO BE - HW'!H$2,'Rozpočet - HW a licencie'!$C$3:$C$102,"HW",'Rozpočet - HW a licencie'!$G$3:$G$102,'TCO TO BE - HW'!$D12,'Rozpočet - HW a licencie'!$D$3:$D$102,'TCO TO BE - HW'!$B$5)+SUMIFS('Rozpočet - HW a licencie'!$I$3:$I$102,'Rozpočet - HW a licencie'!$A$3:$A$102,'TCO TO BE - HW'!H$2,'Rozpočet - HW a licencie'!$C$3:$C$102,"SW pre HW",'Rozpočet - HW a licencie'!$G$3:$G$102,'TCO TO BE - HW'!$D12,'Rozpočet - HW a licencie'!$D$3:$D$102,'TCO TO BE - HW'!$B$5),)</f>
        <v>0</v>
      </c>
      <c r="I12" s="565">
        <f>IFERROR(SUMIFS('Rozpočet - HW a licencie'!$I$3:$I$102,'Rozpočet - HW a licencie'!$A$3:$A$102,'TCO TO BE - HW'!I$2,'Rozpočet - HW a licencie'!$C$3:$C$102,"HW",'Rozpočet - HW a licencie'!$G$3:$G$102,'TCO TO BE - HW'!$D12,'Rozpočet - HW a licencie'!$D$3:$D$102,'TCO TO BE - HW'!$B$5)+SUMIFS('Rozpočet - HW a licencie'!$I$3:$I$102,'Rozpočet - HW a licencie'!$A$3:$A$102,'TCO TO BE - HW'!I$2,'Rozpočet - HW a licencie'!$C$3:$C$102,"SW pre HW",'Rozpočet - HW a licencie'!$G$3:$G$102,'TCO TO BE - HW'!$D12,'Rozpočet - HW a licencie'!$D$3:$D$102,'TCO TO BE - HW'!$B$5),)</f>
        <v>0</v>
      </c>
      <c r="J12" s="565">
        <f>IFERROR(SUMIFS('Rozpočet - HW a licencie'!$I$3:$I$102,'Rozpočet - HW a licencie'!$A$3:$A$102,'TCO TO BE - HW'!J$2,'Rozpočet - HW a licencie'!$C$3:$C$102,"HW",'Rozpočet - HW a licencie'!$G$3:$G$102,'TCO TO BE - HW'!$D12,'Rozpočet - HW a licencie'!$D$3:$D$102,'TCO TO BE - HW'!$B$5)+SUMIFS('Rozpočet - HW a licencie'!$I$3:$I$102,'Rozpočet - HW a licencie'!$A$3:$A$102,'TCO TO BE - HW'!J$2,'Rozpočet - HW a licencie'!$C$3:$C$102,"SW pre HW",'Rozpočet - HW a licencie'!$G$3:$G$102,'TCO TO BE - HW'!$D12,'Rozpočet - HW a licencie'!$D$3:$D$102,'TCO TO BE - HW'!$B$5),)</f>
        <v>0</v>
      </c>
      <c r="K12" s="565">
        <f>IFERROR(SUMIFS('Rozpočet - HW a licencie'!$I$3:$I$102,'Rozpočet - HW a licencie'!$A$3:$A$102,'TCO TO BE - HW'!K$2,'Rozpočet - HW a licencie'!$C$3:$C$102,"HW",'Rozpočet - HW a licencie'!$G$3:$G$102,'TCO TO BE - HW'!$D12,'Rozpočet - HW a licencie'!$D$3:$D$102,'TCO TO BE - HW'!$B$5)+SUMIFS('Rozpočet - HW a licencie'!$I$3:$I$102,'Rozpočet - HW a licencie'!$A$3:$A$102,'TCO TO BE - HW'!K$2,'Rozpočet - HW a licencie'!$C$3:$C$102,"SW pre HW",'Rozpočet - HW a licencie'!$G$3:$G$102,'TCO TO BE - HW'!$D12,'Rozpočet - HW a licencie'!$D$3:$D$102,'TCO TO BE - HW'!$B$5),)</f>
        <v>0</v>
      </c>
      <c r="L12" s="565">
        <f>IFERROR(SUMIFS('Rozpočet - HW a licencie'!$I$3:$I$102,'Rozpočet - HW a licencie'!$A$3:$A$102,'TCO TO BE - HW'!L$2,'Rozpočet - HW a licencie'!$C$3:$C$102,"HW",'Rozpočet - HW a licencie'!$G$3:$G$102,'TCO TO BE - HW'!$D12,'Rozpočet - HW a licencie'!$D$3:$D$102,'TCO TO BE - HW'!$B$5)+SUMIFS('Rozpočet - HW a licencie'!$I$3:$I$102,'Rozpočet - HW a licencie'!$A$3:$A$102,'TCO TO BE - HW'!L$2,'Rozpočet - HW a licencie'!$C$3:$C$102,"SW pre HW",'Rozpočet - HW a licencie'!$G$3:$G$102,'TCO TO BE - HW'!$D12,'Rozpočet - HW a licencie'!$D$3:$D$102,'TCO TO BE - HW'!$B$5),)</f>
        <v>0</v>
      </c>
      <c r="M12" s="565">
        <f>IFERROR(SUMIFS('Rozpočet - HW a licencie'!$I$3:$I$102,'Rozpočet - HW a licencie'!$A$3:$A$102,'TCO TO BE - HW'!M$2,'Rozpočet - HW a licencie'!$C$3:$C$102,"HW",'Rozpočet - HW a licencie'!$G$3:$G$102,'TCO TO BE - HW'!$D12,'Rozpočet - HW a licencie'!$D$3:$D$102,'TCO TO BE - HW'!$B$5)+SUMIFS('Rozpočet - HW a licencie'!$I$3:$I$102,'Rozpočet - HW a licencie'!$A$3:$A$102,'TCO TO BE - HW'!M$2,'Rozpočet - HW a licencie'!$C$3:$C$102,"SW pre HW",'Rozpočet - HW a licencie'!$G$3:$G$102,'TCO TO BE - HW'!$D12,'Rozpočet - HW a licencie'!$D$3:$D$102,'TCO TO BE - HW'!$B$5),)</f>
        <v>0</v>
      </c>
      <c r="N12" s="565">
        <f>IFERROR(SUMIFS('Rozpočet - HW a licencie'!$I$3:$I$102,'Rozpočet - HW a licencie'!$A$3:$A$102,'TCO TO BE - HW'!N$2,'Rozpočet - HW a licencie'!$C$3:$C$102,"HW",'Rozpočet - HW a licencie'!$G$3:$G$102,'TCO TO BE - HW'!$D12,'Rozpočet - HW a licencie'!$D$3:$D$102,'TCO TO BE - HW'!$B$5)+SUMIFS('Rozpočet - HW a licencie'!$I$3:$I$102,'Rozpočet - HW a licencie'!$A$3:$A$102,'TCO TO BE - HW'!N$2,'Rozpočet - HW a licencie'!$C$3:$C$102,"SW pre HW",'Rozpočet - HW a licencie'!$G$3:$G$102,'TCO TO BE - HW'!$D12,'Rozpočet - HW a licencie'!$D$3:$D$102,'TCO TO BE - HW'!$B$5),)</f>
        <v>0</v>
      </c>
      <c r="O12" s="565">
        <f>IFERROR(SUMIFS('Rozpočet - HW a licencie'!$I$3:$I$102,'Rozpočet - HW a licencie'!$A$3:$A$102,'TCO TO BE - HW'!O$2,'Rozpočet - HW a licencie'!$C$3:$C$102,"HW",'Rozpočet - HW a licencie'!$G$3:$G$102,'TCO TO BE - HW'!$D12,'Rozpočet - HW a licencie'!$D$3:$D$102,'TCO TO BE - HW'!$B$5)+SUMIFS('Rozpočet - HW a licencie'!$I$3:$I$102,'Rozpočet - HW a licencie'!$A$3:$A$102,'TCO TO BE - HW'!O$2,'Rozpočet - HW a licencie'!$C$3:$C$102,"SW pre HW",'Rozpočet - HW a licencie'!$G$3:$G$102,'TCO TO BE - HW'!$D12,'Rozpočet - HW a licencie'!$D$3:$D$102,'TCO TO BE - HW'!$B$5),)</f>
        <v>0</v>
      </c>
      <c r="P12" s="565">
        <f>IFERROR(SUMIFS('Rozpočet - HW a licencie'!$I$3:$I$102,'Rozpočet - HW a licencie'!$A$3:$A$102,'TCO TO BE - HW'!P$2,'Rozpočet - HW a licencie'!$C$3:$C$102,"HW",'Rozpočet - HW a licencie'!$G$3:$G$102,'TCO TO BE - HW'!$D12,'Rozpočet - HW a licencie'!$D$3:$D$102,'TCO TO BE - HW'!$B$5)+SUMIFS('Rozpočet - HW a licencie'!$I$3:$I$102,'Rozpočet - HW a licencie'!$A$3:$A$102,'TCO TO BE - HW'!P$2,'Rozpočet - HW a licencie'!$C$3:$C$102,"SW pre HW",'Rozpočet - HW a licencie'!$G$3:$G$102,'TCO TO BE - HW'!$D12,'Rozpočet - HW a licencie'!$D$3:$D$102,'TCO TO BE - HW'!$B$5),)</f>
        <v>0</v>
      </c>
      <c r="Q12" s="565">
        <f>IFERROR(SUMIFS('Rozpočet - HW a licencie'!$I$3:$I$102,'Rozpočet - HW a licencie'!$A$3:$A$102,'TCO TO BE - HW'!Q$2,'Rozpočet - HW a licencie'!$C$3:$C$102,"HW",'Rozpočet - HW a licencie'!$G$3:$G$102,'TCO TO BE - HW'!$D12,'Rozpočet - HW a licencie'!$D$3:$D$102,'TCO TO BE - HW'!$B$5)+SUMIFS('Rozpočet - HW a licencie'!$I$3:$I$102,'Rozpočet - HW a licencie'!$A$3:$A$102,'TCO TO BE - HW'!Q$2,'Rozpočet - HW a licencie'!$C$3:$C$102,"SW pre HW",'Rozpočet - HW a licencie'!$G$3:$G$102,'TCO TO BE - HW'!$D12,'Rozpočet - HW a licencie'!$D$3:$D$102,'TCO TO BE - HW'!$B$5),)</f>
        <v>0</v>
      </c>
      <c r="R12" s="565">
        <f>IFERROR(SUMIFS('Rozpočet - HW a licencie'!$I$3:$I$102,'Rozpočet - HW a licencie'!$A$3:$A$102,'TCO TO BE - HW'!R$2,'Rozpočet - HW a licencie'!$C$3:$C$102,"HW",'Rozpočet - HW a licencie'!$G$3:$G$102,'TCO TO BE - HW'!$D12,'Rozpočet - HW a licencie'!$D$3:$D$102,'TCO TO BE - HW'!$B$5)+SUMIFS('Rozpočet - HW a licencie'!$I$3:$I$102,'Rozpočet - HW a licencie'!$A$3:$A$102,'TCO TO BE - HW'!R$2,'Rozpočet - HW a licencie'!$C$3:$C$102,"SW pre HW",'Rozpočet - HW a licencie'!$G$3:$G$102,'TCO TO BE - HW'!$D12,'Rozpočet - HW a licencie'!$D$3:$D$102,'TCO TO BE - HW'!$B$5),)</f>
        <v>0</v>
      </c>
      <c r="S12" s="565">
        <f>IFERROR(SUMIFS('Rozpočet - HW a licencie'!$I$3:$I$102,'Rozpočet - HW a licencie'!$A$3:$A$102,'TCO TO BE - HW'!S$2,'Rozpočet - HW a licencie'!$C$3:$C$102,"HW",'Rozpočet - HW a licencie'!$G$3:$G$102,'TCO TO BE - HW'!$D12,'Rozpočet - HW a licencie'!$D$3:$D$102,'TCO TO BE - HW'!$B$5)+SUMIFS('Rozpočet - HW a licencie'!$I$3:$I$102,'Rozpočet - HW a licencie'!$A$3:$A$102,'TCO TO BE - HW'!S$2,'Rozpočet - HW a licencie'!$C$3:$C$102,"SW pre HW",'Rozpočet - HW a licencie'!$G$3:$G$102,'TCO TO BE - HW'!$D12,'Rozpočet - HW a licencie'!$D$3:$D$102,'TCO TO BE - HW'!$B$5),)</f>
        <v>0</v>
      </c>
      <c r="T12" s="565">
        <f>IFERROR(SUMIFS('Rozpočet - HW a licencie'!$I$3:$I$102,'Rozpočet - HW a licencie'!$A$3:$A$102,'TCO TO BE - HW'!T$2,'Rozpočet - HW a licencie'!$C$3:$C$102,"HW",'Rozpočet - HW a licencie'!$G$3:$G$102,'TCO TO BE - HW'!$D12,'Rozpočet - HW a licencie'!$D$3:$D$102,'TCO TO BE - HW'!$B$5)+SUMIFS('Rozpočet - HW a licencie'!$I$3:$I$102,'Rozpočet - HW a licencie'!$A$3:$A$102,'TCO TO BE - HW'!T$2,'Rozpočet - HW a licencie'!$C$3:$C$102,"SW pre HW",'Rozpočet - HW a licencie'!$G$3:$G$102,'TCO TO BE - HW'!$D12,'Rozpočet - HW a licencie'!$D$3:$D$102,'TCO TO BE - HW'!$B$5),)</f>
        <v>0</v>
      </c>
      <c r="U12" s="565">
        <f>IFERROR(SUMIFS('Rozpočet - HW a licencie'!$I$3:$I$102,'Rozpočet - HW a licencie'!$A$3:$A$102,'TCO TO BE - HW'!U$2,'Rozpočet - HW a licencie'!$C$3:$C$102,"HW",'Rozpočet - HW a licencie'!$G$3:$G$102,'TCO TO BE - HW'!$D12,'Rozpočet - HW a licencie'!$D$3:$D$102,'TCO TO BE - HW'!$B$5)+SUMIFS('Rozpočet - HW a licencie'!$I$3:$I$102,'Rozpočet - HW a licencie'!$A$3:$A$102,'TCO TO BE - HW'!U$2,'Rozpočet - HW a licencie'!$C$3:$C$102,"SW pre HW",'Rozpočet - HW a licencie'!$G$3:$G$102,'TCO TO BE - HW'!$D12,'Rozpočet - HW a licencie'!$D$3:$D$102,'TCO TO BE - HW'!$B$5),)</f>
        <v>0</v>
      </c>
      <c r="V12" s="565">
        <f>IFERROR(SUMIFS('Rozpočet - HW a licencie'!$I$3:$I$102,'Rozpočet - HW a licencie'!$A$3:$A$102,'TCO TO BE - HW'!V$2,'Rozpočet - HW a licencie'!$C$3:$C$102,"HW",'Rozpočet - HW a licencie'!$G$3:$G$102,'TCO TO BE - HW'!$D12,'Rozpočet - HW a licencie'!$D$3:$D$102,'TCO TO BE - HW'!$B$5)+SUMIFS('Rozpočet - HW a licencie'!$I$3:$I$102,'Rozpočet - HW a licencie'!$A$3:$A$102,'TCO TO BE - HW'!V$2,'Rozpočet - HW a licencie'!$C$3:$C$102,"SW pre HW",'Rozpočet - HW a licencie'!$G$3:$G$102,'TCO TO BE - HW'!$D12,'Rozpočet - HW a licencie'!$D$3:$D$102,'TCO TO BE - HW'!$B$5),)</f>
        <v>0</v>
      </c>
      <c r="W12" s="565">
        <f>IFERROR(SUMIFS('Rozpočet - HW a licencie'!$I$3:$I$102,'Rozpočet - HW a licencie'!$A$3:$A$102,'TCO TO BE - HW'!W$2,'Rozpočet - HW a licencie'!$C$3:$C$102,"HW",'Rozpočet - HW a licencie'!$G$3:$G$102,'TCO TO BE - HW'!$D12,'Rozpočet - HW a licencie'!$D$3:$D$102,'TCO TO BE - HW'!$B$5)+SUMIFS('Rozpočet - HW a licencie'!$I$3:$I$102,'Rozpočet - HW a licencie'!$A$3:$A$102,'TCO TO BE - HW'!W$2,'Rozpočet - HW a licencie'!$C$3:$C$102,"SW pre HW",'Rozpočet - HW a licencie'!$G$3:$G$102,'TCO TO BE - HW'!$D12,'Rozpočet - HW a licencie'!$D$3:$D$102,'TCO TO BE - HW'!$B$5),)</f>
        <v>0</v>
      </c>
      <c r="X12" s="565">
        <f>IFERROR(SUMIFS('Rozpočet - HW a licencie'!$I$3:$I$102,'Rozpočet - HW a licencie'!$A$3:$A$102,'TCO TO BE - HW'!X$2,'Rozpočet - HW a licencie'!$C$3:$C$102,"HW",'Rozpočet - HW a licencie'!$G$3:$G$102,'TCO TO BE - HW'!$D12,'Rozpočet - HW a licencie'!$D$3:$D$102,'TCO TO BE - HW'!$B$5)+SUMIFS('Rozpočet - HW a licencie'!$I$3:$I$102,'Rozpočet - HW a licencie'!$A$3:$A$102,'TCO TO BE - HW'!X$2,'Rozpočet - HW a licencie'!$C$3:$C$102,"SW pre HW",'Rozpočet - HW a licencie'!$G$3:$G$102,'TCO TO BE - HW'!$D12,'Rozpočet - HW a licencie'!$D$3:$D$102,'TCO TO BE - HW'!$B$5),)</f>
        <v>0</v>
      </c>
      <c r="Y12" s="565">
        <f>IFERROR(SUMIFS('Rozpočet - HW a licencie'!$I$3:$I$102,'Rozpočet - HW a licencie'!$A$3:$A$102,'TCO TO BE - HW'!Y$2,'Rozpočet - HW a licencie'!$C$3:$C$102,"HW",'Rozpočet - HW a licencie'!$G$3:$G$102,'TCO TO BE - HW'!$D12,'Rozpočet - HW a licencie'!$D$3:$D$102,'TCO TO BE - HW'!$B$5)+SUMIFS('Rozpočet - HW a licencie'!$I$3:$I$102,'Rozpočet - HW a licencie'!$A$3:$A$102,'TCO TO BE - HW'!Y$2,'Rozpočet - HW a licencie'!$C$3:$C$102,"SW pre HW",'Rozpočet - HW a licencie'!$G$3:$G$102,'TCO TO BE - HW'!$D12,'Rozpočet - HW a licencie'!$D$3:$D$102,'TCO TO BE - HW'!$B$5),)</f>
        <v>0</v>
      </c>
      <c r="Z12" s="565">
        <f>IFERROR(SUMIFS('Rozpočet - HW a licencie'!$I$3:$I$102,'Rozpočet - HW a licencie'!$A$3:$A$102,'TCO TO BE - HW'!Z$2,'Rozpočet - HW a licencie'!$C$3:$C$102,"HW",'Rozpočet - HW a licencie'!$G$3:$G$102,'TCO TO BE - HW'!$D12,'Rozpočet - HW a licencie'!$D$3:$D$102,'TCO TO BE - HW'!$B$5)+SUMIFS('Rozpočet - HW a licencie'!$I$3:$I$102,'Rozpočet - HW a licencie'!$A$3:$A$102,'TCO TO BE - HW'!Z$2,'Rozpočet - HW a licencie'!$C$3:$C$102,"SW pre HW",'Rozpočet - HW a licencie'!$G$3:$G$102,'TCO TO BE - HW'!$D12,'Rozpočet - HW a licencie'!$D$3:$D$102,'TCO TO BE - HW'!$B$5),)</f>
        <v>0</v>
      </c>
    </row>
    <row r="13" spans="1:26" outlineLevel="1">
      <c r="A13" s="807"/>
      <c r="B13" s="808"/>
      <c r="C13" s="808"/>
      <c r="D13" s="487">
        <v>9</v>
      </c>
      <c r="E13" s="68">
        <f t="shared" si="2"/>
        <v>0</v>
      </c>
      <c r="F13" s="565">
        <f>IFERROR(SUMIFS('Rozpočet - HW a licencie'!$I$3:$I$102,'Rozpočet - HW a licencie'!$A$3:$A$102,'TCO TO BE - HW'!F$2,'Rozpočet - HW a licencie'!$C$3:$C$102,"HW",'Rozpočet - HW a licencie'!$G$3:$G$102,'TCO TO BE - HW'!$D13,'Rozpočet - HW a licencie'!$D$3:$D$102,'TCO TO BE - HW'!$B$5)+SUMIFS('Rozpočet - HW a licencie'!$I$3:$I$102,'Rozpočet - HW a licencie'!$A$3:$A$102,'TCO TO BE - HW'!F$2,'Rozpočet - HW a licencie'!$C$3:$C$102,"SW pre HW",'Rozpočet - HW a licencie'!$G$3:$G$102,'TCO TO BE - HW'!$D13,'Rozpočet - HW a licencie'!$D$3:$D$102,'TCO TO BE - HW'!$B$5),)</f>
        <v>0</v>
      </c>
      <c r="G13" s="565">
        <f>IFERROR(SUMIFS('Rozpočet - HW a licencie'!$I$3:$I$102,'Rozpočet - HW a licencie'!$A$3:$A$102,'TCO TO BE - HW'!G$2,'Rozpočet - HW a licencie'!$C$3:$C$102,"HW",'Rozpočet - HW a licencie'!$G$3:$G$102,'TCO TO BE - HW'!$D13,'Rozpočet - HW a licencie'!$D$3:$D$102,'TCO TO BE - HW'!$B$5)+SUMIFS('Rozpočet - HW a licencie'!$I$3:$I$102,'Rozpočet - HW a licencie'!$A$3:$A$102,'TCO TO BE - HW'!G$2,'Rozpočet - HW a licencie'!$C$3:$C$102,"SW pre HW",'Rozpočet - HW a licencie'!$G$3:$G$102,'TCO TO BE - HW'!$D13,'Rozpočet - HW a licencie'!$D$3:$D$102,'TCO TO BE - HW'!$B$5),)</f>
        <v>0</v>
      </c>
      <c r="H13" s="565">
        <f>IFERROR(SUMIFS('Rozpočet - HW a licencie'!$I$3:$I$102,'Rozpočet - HW a licencie'!$A$3:$A$102,'TCO TO BE - HW'!H$2,'Rozpočet - HW a licencie'!$C$3:$C$102,"HW",'Rozpočet - HW a licencie'!$G$3:$G$102,'TCO TO BE - HW'!$D13,'Rozpočet - HW a licencie'!$D$3:$D$102,'TCO TO BE - HW'!$B$5)+SUMIFS('Rozpočet - HW a licencie'!$I$3:$I$102,'Rozpočet - HW a licencie'!$A$3:$A$102,'TCO TO BE - HW'!H$2,'Rozpočet - HW a licencie'!$C$3:$C$102,"SW pre HW",'Rozpočet - HW a licencie'!$G$3:$G$102,'TCO TO BE - HW'!$D13,'Rozpočet - HW a licencie'!$D$3:$D$102,'TCO TO BE - HW'!$B$5),)</f>
        <v>0</v>
      </c>
      <c r="I13" s="565">
        <f>IFERROR(SUMIFS('Rozpočet - HW a licencie'!$I$3:$I$102,'Rozpočet - HW a licencie'!$A$3:$A$102,'TCO TO BE - HW'!I$2,'Rozpočet - HW a licencie'!$C$3:$C$102,"HW",'Rozpočet - HW a licencie'!$G$3:$G$102,'TCO TO BE - HW'!$D13,'Rozpočet - HW a licencie'!$D$3:$D$102,'TCO TO BE - HW'!$B$5)+SUMIFS('Rozpočet - HW a licencie'!$I$3:$I$102,'Rozpočet - HW a licencie'!$A$3:$A$102,'TCO TO BE - HW'!I$2,'Rozpočet - HW a licencie'!$C$3:$C$102,"SW pre HW",'Rozpočet - HW a licencie'!$G$3:$G$102,'TCO TO BE - HW'!$D13,'Rozpočet - HW a licencie'!$D$3:$D$102,'TCO TO BE - HW'!$B$5),)</f>
        <v>0</v>
      </c>
      <c r="J13" s="565">
        <f>IFERROR(SUMIFS('Rozpočet - HW a licencie'!$I$3:$I$102,'Rozpočet - HW a licencie'!$A$3:$A$102,'TCO TO BE - HW'!J$2,'Rozpočet - HW a licencie'!$C$3:$C$102,"HW",'Rozpočet - HW a licencie'!$G$3:$G$102,'TCO TO BE - HW'!$D13,'Rozpočet - HW a licencie'!$D$3:$D$102,'TCO TO BE - HW'!$B$5)+SUMIFS('Rozpočet - HW a licencie'!$I$3:$I$102,'Rozpočet - HW a licencie'!$A$3:$A$102,'TCO TO BE - HW'!J$2,'Rozpočet - HW a licencie'!$C$3:$C$102,"SW pre HW",'Rozpočet - HW a licencie'!$G$3:$G$102,'TCO TO BE - HW'!$D13,'Rozpočet - HW a licencie'!$D$3:$D$102,'TCO TO BE - HW'!$B$5),)</f>
        <v>0</v>
      </c>
      <c r="K13" s="565">
        <f>IFERROR(SUMIFS('Rozpočet - HW a licencie'!$I$3:$I$102,'Rozpočet - HW a licencie'!$A$3:$A$102,'TCO TO BE - HW'!K$2,'Rozpočet - HW a licencie'!$C$3:$C$102,"HW",'Rozpočet - HW a licencie'!$G$3:$G$102,'TCO TO BE - HW'!$D13,'Rozpočet - HW a licencie'!$D$3:$D$102,'TCO TO BE - HW'!$B$5)+SUMIFS('Rozpočet - HW a licencie'!$I$3:$I$102,'Rozpočet - HW a licencie'!$A$3:$A$102,'TCO TO BE - HW'!K$2,'Rozpočet - HW a licencie'!$C$3:$C$102,"SW pre HW",'Rozpočet - HW a licencie'!$G$3:$G$102,'TCO TO BE - HW'!$D13,'Rozpočet - HW a licencie'!$D$3:$D$102,'TCO TO BE - HW'!$B$5),)</f>
        <v>0</v>
      </c>
      <c r="L13" s="565">
        <f>IFERROR(SUMIFS('Rozpočet - HW a licencie'!$I$3:$I$102,'Rozpočet - HW a licencie'!$A$3:$A$102,'TCO TO BE - HW'!L$2,'Rozpočet - HW a licencie'!$C$3:$C$102,"HW",'Rozpočet - HW a licencie'!$G$3:$G$102,'TCO TO BE - HW'!$D13,'Rozpočet - HW a licencie'!$D$3:$D$102,'TCO TO BE - HW'!$B$5)+SUMIFS('Rozpočet - HW a licencie'!$I$3:$I$102,'Rozpočet - HW a licencie'!$A$3:$A$102,'TCO TO BE - HW'!L$2,'Rozpočet - HW a licencie'!$C$3:$C$102,"SW pre HW",'Rozpočet - HW a licencie'!$G$3:$G$102,'TCO TO BE - HW'!$D13,'Rozpočet - HW a licencie'!$D$3:$D$102,'TCO TO BE - HW'!$B$5),)</f>
        <v>0</v>
      </c>
      <c r="M13" s="565">
        <f>IFERROR(SUMIFS('Rozpočet - HW a licencie'!$I$3:$I$102,'Rozpočet - HW a licencie'!$A$3:$A$102,'TCO TO BE - HW'!M$2,'Rozpočet - HW a licencie'!$C$3:$C$102,"HW",'Rozpočet - HW a licencie'!$G$3:$G$102,'TCO TO BE - HW'!$D13,'Rozpočet - HW a licencie'!$D$3:$D$102,'TCO TO BE - HW'!$B$5)+SUMIFS('Rozpočet - HW a licencie'!$I$3:$I$102,'Rozpočet - HW a licencie'!$A$3:$A$102,'TCO TO BE - HW'!M$2,'Rozpočet - HW a licencie'!$C$3:$C$102,"SW pre HW",'Rozpočet - HW a licencie'!$G$3:$G$102,'TCO TO BE - HW'!$D13,'Rozpočet - HW a licencie'!$D$3:$D$102,'TCO TO BE - HW'!$B$5),)</f>
        <v>0</v>
      </c>
      <c r="N13" s="565">
        <f>IFERROR(SUMIFS('Rozpočet - HW a licencie'!$I$3:$I$102,'Rozpočet - HW a licencie'!$A$3:$A$102,'TCO TO BE - HW'!N$2,'Rozpočet - HW a licencie'!$C$3:$C$102,"HW",'Rozpočet - HW a licencie'!$G$3:$G$102,'TCO TO BE - HW'!$D13,'Rozpočet - HW a licencie'!$D$3:$D$102,'TCO TO BE - HW'!$B$5)+SUMIFS('Rozpočet - HW a licencie'!$I$3:$I$102,'Rozpočet - HW a licencie'!$A$3:$A$102,'TCO TO BE - HW'!N$2,'Rozpočet - HW a licencie'!$C$3:$C$102,"SW pre HW",'Rozpočet - HW a licencie'!$G$3:$G$102,'TCO TO BE - HW'!$D13,'Rozpočet - HW a licencie'!$D$3:$D$102,'TCO TO BE - HW'!$B$5),)</f>
        <v>0</v>
      </c>
      <c r="O13" s="565">
        <f>IFERROR(SUMIFS('Rozpočet - HW a licencie'!$I$3:$I$102,'Rozpočet - HW a licencie'!$A$3:$A$102,'TCO TO BE - HW'!O$2,'Rozpočet - HW a licencie'!$C$3:$C$102,"HW",'Rozpočet - HW a licencie'!$G$3:$G$102,'TCO TO BE - HW'!$D13,'Rozpočet - HW a licencie'!$D$3:$D$102,'TCO TO BE - HW'!$B$5)+SUMIFS('Rozpočet - HW a licencie'!$I$3:$I$102,'Rozpočet - HW a licencie'!$A$3:$A$102,'TCO TO BE - HW'!O$2,'Rozpočet - HW a licencie'!$C$3:$C$102,"SW pre HW",'Rozpočet - HW a licencie'!$G$3:$G$102,'TCO TO BE - HW'!$D13,'Rozpočet - HW a licencie'!$D$3:$D$102,'TCO TO BE - HW'!$B$5),)</f>
        <v>0</v>
      </c>
      <c r="P13" s="565">
        <f>IFERROR(SUMIFS('Rozpočet - HW a licencie'!$I$3:$I$102,'Rozpočet - HW a licencie'!$A$3:$A$102,'TCO TO BE - HW'!P$2,'Rozpočet - HW a licencie'!$C$3:$C$102,"HW",'Rozpočet - HW a licencie'!$G$3:$G$102,'TCO TO BE - HW'!$D13,'Rozpočet - HW a licencie'!$D$3:$D$102,'TCO TO BE - HW'!$B$5)+SUMIFS('Rozpočet - HW a licencie'!$I$3:$I$102,'Rozpočet - HW a licencie'!$A$3:$A$102,'TCO TO BE - HW'!P$2,'Rozpočet - HW a licencie'!$C$3:$C$102,"SW pre HW",'Rozpočet - HW a licencie'!$G$3:$G$102,'TCO TO BE - HW'!$D13,'Rozpočet - HW a licencie'!$D$3:$D$102,'TCO TO BE - HW'!$B$5),)</f>
        <v>0</v>
      </c>
      <c r="Q13" s="565">
        <f>IFERROR(SUMIFS('Rozpočet - HW a licencie'!$I$3:$I$102,'Rozpočet - HW a licencie'!$A$3:$A$102,'TCO TO BE - HW'!Q$2,'Rozpočet - HW a licencie'!$C$3:$C$102,"HW",'Rozpočet - HW a licencie'!$G$3:$G$102,'TCO TO BE - HW'!$D13,'Rozpočet - HW a licencie'!$D$3:$D$102,'TCO TO BE - HW'!$B$5)+SUMIFS('Rozpočet - HW a licencie'!$I$3:$I$102,'Rozpočet - HW a licencie'!$A$3:$A$102,'TCO TO BE - HW'!Q$2,'Rozpočet - HW a licencie'!$C$3:$C$102,"SW pre HW",'Rozpočet - HW a licencie'!$G$3:$G$102,'TCO TO BE - HW'!$D13,'Rozpočet - HW a licencie'!$D$3:$D$102,'TCO TO BE - HW'!$B$5),)</f>
        <v>0</v>
      </c>
      <c r="R13" s="565">
        <f>IFERROR(SUMIFS('Rozpočet - HW a licencie'!$I$3:$I$102,'Rozpočet - HW a licencie'!$A$3:$A$102,'TCO TO BE - HW'!R$2,'Rozpočet - HW a licencie'!$C$3:$C$102,"HW",'Rozpočet - HW a licencie'!$G$3:$G$102,'TCO TO BE - HW'!$D13,'Rozpočet - HW a licencie'!$D$3:$D$102,'TCO TO BE - HW'!$B$5)+SUMIFS('Rozpočet - HW a licencie'!$I$3:$I$102,'Rozpočet - HW a licencie'!$A$3:$A$102,'TCO TO BE - HW'!R$2,'Rozpočet - HW a licencie'!$C$3:$C$102,"SW pre HW",'Rozpočet - HW a licencie'!$G$3:$G$102,'TCO TO BE - HW'!$D13,'Rozpočet - HW a licencie'!$D$3:$D$102,'TCO TO BE - HW'!$B$5),)</f>
        <v>0</v>
      </c>
      <c r="S13" s="565">
        <f>IFERROR(SUMIFS('Rozpočet - HW a licencie'!$I$3:$I$102,'Rozpočet - HW a licencie'!$A$3:$A$102,'TCO TO BE - HW'!S$2,'Rozpočet - HW a licencie'!$C$3:$C$102,"HW",'Rozpočet - HW a licencie'!$G$3:$G$102,'TCO TO BE - HW'!$D13,'Rozpočet - HW a licencie'!$D$3:$D$102,'TCO TO BE - HW'!$B$5)+SUMIFS('Rozpočet - HW a licencie'!$I$3:$I$102,'Rozpočet - HW a licencie'!$A$3:$A$102,'TCO TO BE - HW'!S$2,'Rozpočet - HW a licencie'!$C$3:$C$102,"SW pre HW",'Rozpočet - HW a licencie'!$G$3:$G$102,'TCO TO BE - HW'!$D13,'Rozpočet - HW a licencie'!$D$3:$D$102,'TCO TO BE - HW'!$B$5),)</f>
        <v>0</v>
      </c>
      <c r="T13" s="565">
        <f>IFERROR(SUMIFS('Rozpočet - HW a licencie'!$I$3:$I$102,'Rozpočet - HW a licencie'!$A$3:$A$102,'TCO TO BE - HW'!T$2,'Rozpočet - HW a licencie'!$C$3:$C$102,"HW",'Rozpočet - HW a licencie'!$G$3:$G$102,'TCO TO BE - HW'!$D13,'Rozpočet - HW a licencie'!$D$3:$D$102,'TCO TO BE - HW'!$B$5)+SUMIFS('Rozpočet - HW a licencie'!$I$3:$I$102,'Rozpočet - HW a licencie'!$A$3:$A$102,'TCO TO BE - HW'!T$2,'Rozpočet - HW a licencie'!$C$3:$C$102,"SW pre HW",'Rozpočet - HW a licencie'!$G$3:$G$102,'TCO TO BE - HW'!$D13,'Rozpočet - HW a licencie'!$D$3:$D$102,'TCO TO BE - HW'!$B$5),)</f>
        <v>0</v>
      </c>
      <c r="U13" s="565">
        <f>IFERROR(SUMIFS('Rozpočet - HW a licencie'!$I$3:$I$102,'Rozpočet - HW a licencie'!$A$3:$A$102,'TCO TO BE - HW'!U$2,'Rozpočet - HW a licencie'!$C$3:$C$102,"HW",'Rozpočet - HW a licencie'!$G$3:$G$102,'TCO TO BE - HW'!$D13,'Rozpočet - HW a licencie'!$D$3:$D$102,'TCO TO BE - HW'!$B$5)+SUMIFS('Rozpočet - HW a licencie'!$I$3:$I$102,'Rozpočet - HW a licencie'!$A$3:$A$102,'TCO TO BE - HW'!U$2,'Rozpočet - HW a licencie'!$C$3:$C$102,"SW pre HW",'Rozpočet - HW a licencie'!$G$3:$G$102,'TCO TO BE - HW'!$D13,'Rozpočet - HW a licencie'!$D$3:$D$102,'TCO TO BE - HW'!$B$5),)</f>
        <v>0</v>
      </c>
      <c r="V13" s="565">
        <f>IFERROR(SUMIFS('Rozpočet - HW a licencie'!$I$3:$I$102,'Rozpočet - HW a licencie'!$A$3:$A$102,'TCO TO BE - HW'!V$2,'Rozpočet - HW a licencie'!$C$3:$C$102,"HW",'Rozpočet - HW a licencie'!$G$3:$G$102,'TCO TO BE - HW'!$D13,'Rozpočet - HW a licencie'!$D$3:$D$102,'TCO TO BE - HW'!$B$5)+SUMIFS('Rozpočet - HW a licencie'!$I$3:$I$102,'Rozpočet - HW a licencie'!$A$3:$A$102,'TCO TO BE - HW'!V$2,'Rozpočet - HW a licencie'!$C$3:$C$102,"SW pre HW",'Rozpočet - HW a licencie'!$G$3:$G$102,'TCO TO BE - HW'!$D13,'Rozpočet - HW a licencie'!$D$3:$D$102,'TCO TO BE - HW'!$B$5),)</f>
        <v>0</v>
      </c>
      <c r="W13" s="565">
        <f>IFERROR(SUMIFS('Rozpočet - HW a licencie'!$I$3:$I$102,'Rozpočet - HW a licencie'!$A$3:$A$102,'TCO TO BE - HW'!W$2,'Rozpočet - HW a licencie'!$C$3:$C$102,"HW",'Rozpočet - HW a licencie'!$G$3:$G$102,'TCO TO BE - HW'!$D13,'Rozpočet - HW a licencie'!$D$3:$D$102,'TCO TO BE - HW'!$B$5)+SUMIFS('Rozpočet - HW a licencie'!$I$3:$I$102,'Rozpočet - HW a licencie'!$A$3:$A$102,'TCO TO BE - HW'!W$2,'Rozpočet - HW a licencie'!$C$3:$C$102,"SW pre HW",'Rozpočet - HW a licencie'!$G$3:$G$102,'TCO TO BE - HW'!$D13,'Rozpočet - HW a licencie'!$D$3:$D$102,'TCO TO BE - HW'!$B$5),)</f>
        <v>0</v>
      </c>
      <c r="X13" s="565">
        <f>IFERROR(SUMIFS('Rozpočet - HW a licencie'!$I$3:$I$102,'Rozpočet - HW a licencie'!$A$3:$A$102,'TCO TO BE - HW'!X$2,'Rozpočet - HW a licencie'!$C$3:$C$102,"HW",'Rozpočet - HW a licencie'!$G$3:$G$102,'TCO TO BE - HW'!$D13,'Rozpočet - HW a licencie'!$D$3:$D$102,'TCO TO BE - HW'!$B$5)+SUMIFS('Rozpočet - HW a licencie'!$I$3:$I$102,'Rozpočet - HW a licencie'!$A$3:$A$102,'TCO TO BE - HW'!X$2,'Rozpočet - HW a licencie'!$C$3:$C$102,"SW pre HW",'Rozpočet - HW a licencie'!$G$3:$G$102,'TCO TO BE - HW'!$D13,'Rozpočet - HW a licencie'!$D$3:$D$102,'TCO TO BE - HW'!$B$5),)</f>
        <v>0</v>
      </c>
      <c r="Y13" s="565">
        <f>IFERROR(SUMIFS('Rozpočet - HW a licencie'!$I$3:$I$102,'Rozpočet - HW a licencie'!$A$3:$A$102,'TCO TO BE - HW'!Y$2,'Rozpočet - HW a licencie'!$C$3:$C$102,"HW",'Rozpočet - HW a licencie'!$G$3:$G$102,'TCO TO BE - HW'!$D13,'Rozpočet - HW a licencie'!$D$3:$D$102,'TCO TO BE - HW'!$B$5)+SUMIFS('Rozpočet - HW a licencie'!$I$3:$I$102,'Rozpočet - HW a licencie'!$A$3:$A$102,'TCO TO BE - HW'!Y$2,'Rozpočet - HW a licencie'!$C$3:$C$102,"SW pre HW",'Rozpočet - HW a licencie'!$G$3:$G$102,'TCO TO BE - HW'!$D13,'Rozpočet - HW a licencie'!$D$3:$D$102,'TCO TO BE - HW'!$B$5),)</f>
        <v>0</v>
      </c>
      <c r="Z13" s="565">
        <f>IFERROR(SUMIFS('Rozpočet - HW a licencie'!$I$3:$I$102,'Rozpočet - HW a licencie'!$A$3:$A$102,'TCO TO BE - HW'!Z$2,'Rozpočet - HW a licencie'!$C$3:$C$102,"HW",'Rozpočet - HW a licencie'!$G$3:$G$102,'TCO TO BE - HW'!$D13,'Rozpočet - HW a licencie'!$D$3:$D$102,'TCO TO BE - HW'!$B$5)+SUMIFS('Rozpočet - HW a licencie'!$I$3:$I$102,'Rozpočet - HW a licencie'!$A$3:$A$102,'TCO TO BE - HW'!Z$2,'Rozpočet - HW a licencie'!$C$3:$C$102,"SW pre HW",'Rozpočet - HW a licencie'!$G$3:$G$102,'TCO TO BE - HW'!$D13,'Rozpočet - HW a licencie'!$D$3:$D$102,'TCO TO BE - HW'!$B$5),)</f>
        <v>0</v>
      </c>
    </row>
    <row r="14" spans="1:26" ht="15.75" outlineLevel="1" thickBot="1">
      <c r="A14" s="807"/>
      <c r="B14" s="808"/>
      <c r="C14" s="808"/>
      <c r="D14" s="488">
        <v>10</v>
      </c>
      <c r="E14" s="69">
        <f t="shared" si="2"/>
        <v>0</v>
      </c>
      <c r="F14" s="565">
        <f>IFERROR(SUMIFS('Rozpočet - HW a licencie'!$I$3:$I$102,'Rozpočet - HW a licencie'!$A$3:$A$102,'TCO TO BE - HW'!F$2,'Rozpočet - HW a licencie'!$C$3:$C$102,"HW",'Rozpočet - HW a licencie'!$G$3:$G$102,'TCO TO BE - HW'!$D14,'Rozpočet - HW a licencie'!$D$3:$D$102,'TCO TO BE - HW'!$B$5)+SUMIFS('Rozpočet - HW a licencie'!$I$3:$I$102,'Rozpočet - HW a licencie'!$A$3:$A$102,'TCO TO BE - HW'!F$2,'Rozpočet - HW a licencie'!$C$3:$C$102,"SW pre HW",'Rozpočet - HW a licencie'!$G$3:$G$102,'TCO TO BE - HW'!$D14,'Rozpočet - HW a licencie'!$D$3:$D$102,'TCO TO BE - HW'!$B$5),)</f>
        <v>0</v>
      </c>
      <c r="G14" s="565">
        <f>IFERROR(SUMIFS('Rozpočet - HW a licencie'!$I$3:$I$102,'Rozpočet - HW a licencie'!$A$3:$A$102,'TCO TO BE - HW'!G$2,'Rozpočet - HW a licencie'!$C$3:$C$102,"HW",'Rozpočet - HW a licencie'!$G$3:$G$102,'TCO TO BE - HW'!$D14,'Rozpočet - HW a licencie'!$D$3:$D$102,'TCO TO BE - HW'!$B$5)+SUMIFS('Rozpočet - HW a licencie'!$I$3:$I$102,'Rozpočet - HW a licencie'!$A$3:$A$102,'TCO TO BE - HW'!G$2,'Rozpočet - HW a licencie'!$C$3:$C$102,"SW pre HW",'Rozpočet - HW a licencie'!$G$3:$G$102,'TCO TO BE - HW'!$D14,'Rozpočet - HW a licencie'!$D$3:$D$102,'TCO TO BE - HW'!$B$5),)</f>
        <v>0</v>
      </c>
      <c r="H14" s="565">
        <f>IFERROR(SUMIFS('Rozpočet - HW a licencie'!$I$3:$I$102,'Rozpočet - HW a licencie'!$A$3:$A$102,'TCO TO BE - HW'!H$2,'Rozpočet - HW a licencie'!$C$3:$C$102,"HW",'Rozpočet - HW a licencie'!$G$3:$G$102,'TCO TO BE - HW'!$D14,'Rozpočet - HW a licencie'!$D$3:$D$102,'TCO TO BE - HW'!$B$5)+SUMIFS('Rozpočet - HW a licencie'!$I$3:$I$102,'Rozpočet - HW a licencie'!$A$3:$A$102,'TCO TO BE - HW'!H$2,'Rozpočet - HW a licencie'!$C$3:$C$102,"SW pre HW",'Rozpočet - HW a licencie'!$G$3:$G$102,'TCO TO BE - HW'!$D14,'Rozpočet - HW a licencie'!$D$3:$D$102,'TCO TO BE - HW'!$B$5),)</f>
        <v>0</v>
      </c>
      <c r="I14" s="565">
        <f>IFERROR(SUMIFS('Rozpočet - HW a licencie'!$I$3:$I$102,'Rozpočet - HW a licencie'!$A$3:$A$102,'TCO TO BE - HW'!I$2,'Rozpočet - HW a licencie'!$C$3:$C$102,"HW",'Rozpočet - HW a licencie'!$G$3:$G$102,'TCO TO BE - HW'!$D14,'Rozpočet - HW a licencie'!$D$3:$D$102,'TCO TO BE - HW'!$B$5)+SUMIFS('Rozpočet - HW a licencie'!$I$3:$I$102,'Rozpočet - HW a licencie'!$A$3:$A$102,'TCO TO BE - HW'!I$2,'Rozpočet - HW a licencie'!$C$3:$C$102,"SW pre HW",'Rozpočet - HW a licencie'!$G$3:$G$102,'TCO TO BE - HW'!$D14,'Rozpočet - HW a licencie'!$D$3:$D$102,'TCO TO BE - HW'!$B$5),)</f>
        <v>0</v>
      </c>
      <c r="J14" s="565">
        <f>IFERROR(SUMIFS('Rozpočet - HW a licencie'!$I$3:$I$102,'Rozpočet - HW a licencie'!$A$3:$A$102,'TCO TO BE - HW'!J$2,'Rozpočet - HW a licencie'!$C$3:$C$102,"HW",'Rozpočet - HW a licencie'!$G$3:$G$102,'TCO TO BE - HW'!$D14,'Rozpočet - HW a licencie'!$D$3:$D$102,'TCO TO BE - HW'!$B$5)+SUMIFS('Rozpočet - HW a licencie'!$I$3:$I$102,'Rozpočet - HW a licencie'!$A$3:$A$102,'TCO TO BE - HW'!J$2,'Rozpočet - HW a licencie'!$C$3:$C$102,"SW pre HW",'Rozpočet - HW a licencie'!$G$3:$G$102,'TCO TO BE - HW'!$D14,'Rozpočet - HW a licencie'!$D$3:$D$102,'TCO TO BE - HW'!$B$5),)</f>
        <v>0</v>
      </c>
      <c r="K14" s="565">
        <f>IFERROR(SUMIFS('Rozpočet - HW a licencie'!$I$3:$I$102,'Rozpočet - HW a licencie'!$A$3:$A$102,'TCO TO BE - HW'!K$2,'Rozpočet - HW a licencie'!$C$3:$C$102,"HW",'Rozpočet - HW a licencie'!$G$3:$G$102,'TCO TO BE - HW'!$D14,'Rozpočet - HW a licencie'!$D$3:$D$102,'TCO TO BE - HW'!$B$5)+SUMIFS('Rozpočet - HW a licencie'!$I$3:$I$102,'Rozpočet - HW a licencie'!$A$3:$A$102,'TCO TO BE - HW'!K$2,'Rozpočet - HW a licencie'!$C$3:$C$102,"SW pre HW",'Rozpočet - HW a licencie'!$G$3:$G$102,'TCO TO BE - HW'!$D14,'Rozpočet - HW a licencie'!$D$3:$D$102,'TCO TO BE - HW'!$B$5),)</f>
        <v>0</v>
      </c>
      <c r="L14" s="565">
        <f>IFERROR(SUMIFS('Rozpočet - HW a licencie'!$I$3:$I$102,'Rozpočet - HW a licencie'!$A$3:$A$102,'TCO TO BE - HW'!L$2,'Rozpočet - HW a licencie'!$C$3:$C$102,"HW",'Rozpočet - HW a licencie'!$G$3:$G$102,'TCO TO BE - HW'!$D14,'Rozpočet - HW a licencie'!$D$3:$D$102,'TCO TO BE - HW'!$B$5)+SUMIFS('Rozpočet - HW a licencie'!$I$3:$I$102,'Rozpočet - HW a licencie'!$A$3:$A$102,'TCO TO BE - HW'!L$2,'Rozpočet - HW a licencie'!$C$3:$C$102,"SW pre HW",'Rozpočet - HW a licencie'!$G$3:$G$102,'TCO TO BE - HW'!$D14,'Rozpočet - HW a licencie'!$D$3:$D$102,'TCO TO BE - HW'!$B$5),)</f>
        <v>0</v>
      </c>
      <c r="M14" s="565">
        <f>IFERROR(SUMIFS('Rozpočet - HW a licencie'!$I$3:$I$102,'Rozpočet - HW a licencie'!$A$3:$A$102,'TCO TO BE - HW'!M$2,'Rozpočet - HW a licencie'!$C$3:$C$102,"HW",'Rozpočet - HW a licencie'!$G$3:$G$102,'TCO TO BE - HW'!$D14,'Rozpočet - HW a licencie'!$D$3:$D$102,'TCO TO BE - HW'!$B$5)+SUMIFS('Rozpočet - HW a licencie'!$I$3:$I$102,'Rozpočet - HW a licencie'!$A$3:$A$102,'TCO TO BE - HW'!M$2,'Rozpočet - HW a licencie'!$C$3:$C$102,"SW pre HW",'Rozpočet - HW a licencie'!$G$3:$G$102,'TCO TO BE - HW'!$D14,'Rozpočet - HW a licencie'!$D$3:$D$102,'TCO TO BE - HW'!$B$5),)</f>
        <v>0</v>
      </c>
      <c r="N14" s="565">
        <f>IFERROR(SUMIFS('Rozpočet - HW a licencie'!$I$3:$I$102,'Rozpočet - HW a licencie'!$A$3:$A$102,'TCO TO BE - HW'!N$2,'Rozpočet - HW a licencie'!$C$3:$C$102,"HW",'Rozpočet - HW a licencie'!$G$3:$G$102,'TCO TO BE - HW'!$D14,'Rozpočet - HW a licencie'!$D$3:$D$102,'TCO TO BE - HW'!$B$5)+SUMIFS('Rozpočet - HW a licencie'!$I$3:$I$102,'Rozpočet - HW a licencie'!$A$3:$A$102,'TCO TO BE - HW'!N$2,'Rozpočet - HW a licencie'!$C$3:$C$102,"SW pre HW",'Rozpočet - HW a licencie'!$G$3:$G$102,'TCO TO BE - HW'!$D14,'Rozpočet - HW a licencie'!$D$3:$D$102,'TCO TO BE - HW'!$B$5),)</f>
        <v>0</v>
      </c>
      <c r="O14" s="565">
        <f>IFERROR(SUMIFS('Rozpočet - HW a licencie'!$I$3:$I$102,'Rozpočet - HW a licencie'!$A$3:$A$102,'TCO TO BE - HW'!O$2,'Rozpočet - HW a licencie'!$C$3:$C$102,"HW",'Rozpočet - HW a licencie'!$G$3:$G$102,'TCO TO BE - HW'!$D14,'Rozpočet - HW a licencie'!$D$3:$D$102,'TCO TO BE - HW'!$B$5)+SUMIFS('Rozpočet - HW a licencie'!$I$3:$I$102,'Rozpočet - HW a licencie'!$A$3:$A$102,'TCO TO BE - HW'!O$2,'Rozpočet - HW a licencie'!$C$3:$C$102,"SW pre HW",'Rozpočet - HW a licencie'!$G$3:$G$102,'TCO TO BE - HW'!$D14,'Rozpočet - HW a licencie'!$D$3:$D$102,'TCO TO BE - HW'!$B$5),)</f>
        <v>0</v>
      </c>
      <c r="P14" s="565">
        <f>IFERROR(SUMIFS('Rozpočet - HW a licencie'!$I$3:$I$102,'Rozpočet - HW a licencie'!$A$3:$A$102,'TCO TO BE - HW'!P$2,'Rozpočet - HW a licencie'!$C$3:$C$102,"HW",'Rozpočet - HW a licencie'!$G$3:$G$102,'TCO TO BE - HW'!$D14,'Rozpočet - HW a licencie'!$D$3:$D$102,'TCO TO BE - HW'!$B$5)+SUMIFS('Rozpočet - HW a licencie'!$I$3:$I$102,'Rozpočet - HW a licencie'!$A$3:$A$102,'TCO TO BE - HW'!P$2,'Rozpočet - HW a licencie'!$C$3:$C$102,"SW pre HW",'Rozpočet - HW a licencie'!$G$3:$G$102,'TCO TO BE - HW'!$D14,'Rozpočet - HW a licencie'!$D$3:$D$102,'TCO TO BE - HW'!$B$5),)</f>
        <v>0</v>
      </c>
      <c r="Q14" s="565">
        <f>IFERROR(SUMIFS('Rozpočet - HW a licencie'!$I$3:$I$102,'Rozpočet - HW a licencie'!$A$3:$A$102,'TCO TO BE - HW'!Q$2,'Rozpočet - HW a licencie'!$C$3:$C$102,"HW",'Rozpočet - HW a licencie'!$G$3:$G$102,'TCO TO BE - HW'!$D14,'Rozpočet - HW a licencie'!$D$3:$D$102,'TCO TO BE - HW'!$B$5)+SUMIFS('Rozpočet - HW a licencie'!$I$3:$I$102,'Rozpočet - HW a licencie'!$A$3:$A$102,'TCO TO BE - HW'!Q$2,'Rozpočet - HW a licencie'!$C$3:$C$102,"SW pre HW",'Rozpočet - HW a licencie'!$G$3:$G$102,'TCO TO BE - HW'!$D14,'Rozpočet - HW a licencie'!$D$3:$D$102,'TCO TO BE - HW'!$B$5),)</f>
        <v>0</v>
      </c>
      <c r="R14" s="565">
        <f>IFERROR(SUMIFS('Rozpočet - HW a licencie'!$I$3:$I$102,'Rozpočet - HW a licencie'!$A$3:$A$102,'TCO TO BE - HW'!R$2,'Rozpočet - HW a licencie'!$C$3:$C$102,"HW",'Rozpočet - HW a licencie'!$G$3:$G$102,'TCO TO BE - HW'!$D14,'Rozpočet - HW a licencie'!$D$3:$D$102,'TCO TO BE - HW'!$B$5)+SUMIFS('Rozpočet - HW a licencie'!$I$3:$I$102,'Rozpočet - HW a licencie'!$A$3:$A$102,'TCO TO BE - HW'!R$2,'Rozpočet - HW a licencie'!$C$3:$C$102,"SW pre HW",'Rozpočet - HW a licencie'!$G$3:$G$102,'TCO TO BE - HW'!$D14,'Rozpočet - HW a licencie'!$D$3:$D$102,'TCO TO BE - HW'!$B$5),)</f>
        <v>0</v>
      </c>
      <c r="S14" s="565">
        <f>IFERROR(SUMIFS('Rozpočet - HW a licencie'!$I$3:$I$102,'Rozpočet - HW a licencie'!$A$3:$A$102,'TCO TO BE - HW'!S$2,'Rozpočet - HW a licencie'!$C$3:$C$102,"HW",'Rozpočet - HW a licencie'!$G$3:$G$102,'TCO TO BE - HW'!$D14,'Rozpočet - HW a licencie'!$D$3:$D$102,'TCO TO BE - HW'!$B$5)+SUMIFS('Rozpočet - HW a licencie'!$I$3:$I$102,'Rozpočet - HW a licencie'!$A$3:$A$102,'TCO TO BE - HW'!S$2,'Rozpočet - HW a licencie'!$C$3:$C$102,"SW pre HW",'Rozpočet - HW a licencie'!$G$3:$G$102,'TCO TO BE - HW'!$D14,'Rozpočet - HW a licencie'!$D$3:$D$102,'TCO TO BE - HW'!$B$5),)</f>
        <v>0</v>
      </c>
      <c r="T14" s="565">
        <f>IFERROR(SUMIFS('Rozpočet - HW a licencie'!$I$3:$I$102,'Rozpočet - HW a licencie'!$A$3:$A$102,'TCO TO BE - HW'!T$2,'Rozpočet - HW a licencie'!$C$3:$C$102,"HW",'Rozpočet - HW a licencie'!$G$3:$G$102,'TCO TO BE - HW'!$D14,'Rozpočet - HW a licencie'!$D$3:$D$102,'TCO TO BE - HW'!$B$5)+SUMIFS('Rozpočet - HW a licencie'!$I$3:$I$102,'Rozpočet - HW a licencie'!$A$3:$A$102,'TCO TO BE - HW'!T$2,'Rozpočet - HW a licencie'!$C$3:$C$102,"SW pre HW",'Rozpočet - HW a licencie'!$G$3:$G$102,'TCO TO BE - HW'!$D14,'Rozpočet - HW a licencie'!$D$3:$D$102,'TCO TO BE - HW'!$B$5),)</f>
        <v>0</v>
      </c>
      <c r="U14" s="565">
        <f>IFERROR(SUMIFS('Rozpočet - HW a licencie'!$I$3:$I$102,'Rozpočet - HW a licencie'!$A$3:$A$102,'TCO TO BE - HW'!U$2,'Rozpočet - HW a licencie'!$C$3:$C$102,"HW",'Rozpočet - HW a licencie'!$G$3:$G$102,'TCO TO BE - HW'!$D14,'Rozpočet - HW a licencie'!$D$3:$D$102,'TCO TO BE - HW'!$B$5)+SUMIFS('Rozpočet - HW a licencie'!$I$3:$I$102,'Rozpočet - HW a licencie'!$A$3:$A$102,'TCO TO BE - HW'!U$2,'Rozpočet - HW a licencie'!$C$3:$C$102,"SW pre HW",'Rozpočet - HW a licencie'!$G$3:$G$102,'TCO TO BE - HW'!$D14,'Rozpočet - HW a licencie'!$D$3:$D$102,'TCO TO BE - HW'!$B$5),)</f>
        <v>0</v>
      </c>
      <c r="V14" s="565">
        <f>IFERROR(SUMIFS('Rozpočet - HW a licencie'!$I$3:$I$102,'Rozpočet - HW a licencie'!$A$3:$A$102,'TCO TO BE - HW'!V$2,'Rozpočet - HW a licencie'!$C$3:$C$102,"HW",'Rozpočet - HW a licencie'!$G$3:$G$102,'TCO TO BE - HW'!$D14,'Rozpočet - HW a licencie'!$D$3:$D$102,'TCO TO BE - HW'!$B$5)+SUMIFS('Rozpočet - HW a licencie'!$I$3:$I$102,'Rozpočet - HW a licencie'!$A$3:$A$102,'TCO TO BE - HW'!V$2,'Rozpočet - HW a licencie'!$C$3:$C$102,"SW pre HW",'Rozpočet - HW a licencie'!$G$3:$G$102,'TCO TO BE - HW'!$D14,'Rozpočet - HW a licencie'!$D$3:$D$102,'TCO TO BE - HW'!$B$5),)</f>
        <v>0</v>
      </c>
      <c r="W14" s="565">
        <f>IFERROR(SUMIFS('Rozpočet - HW a licencie'!$I$3:$I$102,'Rozpočet - HW a licencie'!$A$3:$A$102,'TCO TO BE - HW'!W$2,'Rozpočet - HW a licencie'!$C$3:$C$102,"HW",'Rozpočet - HW a licencie'!$G$3:$G$102,'TCO TO BE - HW'!$D14,'Rozpočet - HW a licencie'!$D$3:$D$102,'TCO TO BE - HW'!$B$5)+SUMIFS('Rozpočet - HW a licencie'!$I$3:$I$102,'Rozpočet - HW a licencie'!$A$3:$A$102,'TCO TO BE - HW'!W$2,'Rozpočet - HW a licencie'!$C$3:$C$102,"SW pre HW",'Rozpočet - HW a licencie'!$G$3:$G$102,'TCO TO BE - HW'!$D14,'Rozpočet - HW a licencie'!$D$3:$D$102,'TCO TO BE - HW'!$B$5),)</f>
        <v>0</v>
      </c>
      <c r="X14" s="565">
        <f>IFERROR(SUMIFS('Rozpočet - HW a licencie'!$I$3:$I$102,'Rozpočet - HW a licencie'!$A$3:$A$102,'TCO TO BE - HW'!X$2,'Rozpočet - HW a licencie'!$C$3:$C$102,"HW",'Rozpočet - HW a licencie'!$G$3:$G$102,'TCO TO BE - HW'!$D14,'Rozpočet - HW a licencie'!$D$3:$D$102,'TCO TO BE - HW'!$B$5)+SUMIFS('Rozpočet - HW a licencie'!$I$3:$I$102,'Rozpočet - HW a licencie'!$A$3:$A$102,'TCO TO BE - HW'!X$2,'Rozpočet - HW a licencie'!$C$3:$C$102,"SW pre HW",'Rozpočet - HW a licencie'!$G$3:$G$102,'TCO TO BE - HW'!$D14,'Rozpočet - HW a licencie'!$D$3:$D$102,'TCO TO BE - HW'!$B$5),)</f>
        <v>0</v>
      </c>
      <c r="Y14" s="565">
        <f>IFERROR(SUMIFS('Rozpočet - HW a licencie'!$I$3:$I$102,'Rozpočet - HW a licencie'!$A$3:$A$102,'TCO TO BE - HW'!Y$2,'Rozpočet - HW a licencie'!$C$3:$C$102,"HW",'Rozpočet - HW a licencie'!$G$3:$G$102,'TCO TO BE - HW'!$D14,'Rozpočet - HW a licencie'!$D$3:$D$102,'TCO TO BE - HW'!$B$5)+SUMIFS('Rozpočet - HW a licencie'!$I$3:$I$102,'Rozpočet - HW a licencie'!$A$3:$A$102,'TCO TO BE - HW'!Y$2,'Rozpočet - HW a licencie'!$C$3:$C$102,"SW pre HW",'Rozpočet - HW a licencie'!$G$3:$G$102,'TCO TO BE - HW'!$D14,'Rozpočet - HW a licencie'!$D$3:$D$102,'TCO TO BE - HW'!$B$5),)</f>
        <v>0</v>
      </c>
      <c r="Z14" s="565">
        <f>IFERROR(SUMIFS('Rozpočet - HW a licencie'!$I$3:$I$102,'Rozpočet - HW a licencie'!$A$3:$A$102,'TCO TO BE - HW'!Z$2,'Rozpočet - HW a licencie'!$C$3:$C$102,"HW",'Rozpočet - HW a licencie'!$G$3:$G$102,'TCO TO BE - HW'!$D14,'Rozpočet - HW a licencie'!$D$3:$D$102,'TCO TO BE - HW'!$B$5)+SUMIFS('Rozpočet - HW a licencie'!$I$3:$I$102,'Rozpočet - HW a licencie'!$A$3:$A$102,'TCO TO BE - HW'!Z$2,'Rozpočet - HW a licencie'!$C$3:$C$102,"SW pre HW",'Rozpočet - HW a licencie'!$G$3:$G$102,'TCO TO BE - HW'!$D14,'Rozpočet - HW a licencie'!$D$3:$D$102,'TCO TO BE - HW'!$B$5),)</f>
        <v>0</v>
      </c>
    </row>
    <row r="15" spans="1:26" ht="15" customHeight="1" outlineLevel="1">
      <c r="A15" s="807" t="s">
        <v>90</v>
      </c>
      <c r="B15" s="807" t="s">
        <v>113</v>
      </c>
      <c r="C15" s="808">
        <v>633002</v>
      </c>
      <c r="D15" s="486">
        <v>1</v>
      </c>
      <c r="E15" s="68">
        <f t="shared" si="2"/>
        <v>0</v>
      </c>
      <c r="F15" s="564">
        <f>IFERROR(SUMIFS('Rozpočet - HW a licencie'!$I$3:$I$102,'Rozpočet - HW a licencie'!$A$3:$A$102,'TCO TO BE - HW'!F$2,'Rozpočet - HW a licencie'!$C$3:$C$102,"HW",'Rozpočet - HW a licencie'!$G$3:$G$102,'TCO TO BE - HW'!$D5,'Rozpočet - HW a licencie'!$D$3:$D$102,'TCO TO BE - HW'!$B$15)+SUMIFS('Rozpočet - HW a licencie'!$I$3:$I$102,'Rozpočet - HW a licencie'!$A$3:$A$102,'TCO TO BE - HW'!F$2,'Rozpočet - HW a licencie'!$C$3:$C$102,"SW pre HW",'Rozpočet - HW a licencie'!$G$3:$G$102,'TCO TO BE - HW'!$D5,'Rozpočet - HW a licencie'!$D$3:$D$102,'TCO TO BE - HW'!$B$15),)</f>
        <v>0</v>
      </c>
      <c r="G15" s="564">
        <f>IFERROR(SUMIFS('Rozpočet - HW a licencie'!$I$3:$I$102,'Rozpočet - HW a licencie'!$A$3:$A$102,'TCO TO BE - HW'!G$2,'Rozpočet - HW a licencie'!$C$3:$C$102,"HW",'Rozpočet - HW a licencie'!$G$3:$G$102,'TCO TO BE - HW'!$D5,'Rozpočet - HW a licencie'!$D$3:$D$102,'TCO TO BE - HW'!$B$15)+SUMIFS('Rozpočet - HW a licencie'!$I$3:$I$102,'Rozpočet - HW a licencie'!$A$3:$A$102,'TCO TO BE - HW'!G$2,'Rozpočet - HW a licencie'!$C$3:$C$102,"SW pre HW",'Rozpočet - HW a licencie'!$G$3:$G$102,'TCO TO BE - HW'!$D5,'Rozpočet - HW a licencie'!$D$3:$D$102,'TCO TO BE - HW'!$B$15),)</f>
        <v>0</v>
      </c>
      <c r="H15" s="564">
        <f>IFERROR(SUMIFS('Rozpočet - HW a licencie'!$I$3:$I$102,'Rozpočet - HW a licencie'!$A$3:$A$102,'TCO TO BE - HW'!H$2,'Rozpočet - HW a licencie'!$C$3:$C$102,"HW",'Rozpočet - HW a licencie'!$G$3:$G$102,'TCO TO BE - HW'!$D5,'Rozpočet - HW a licencie'!$D$3:$D$102,'TCO TO BE - HW'!$B$15)+SUMIFS('Rozpočet - HW a licencie'!$I$3:$I$102,'Rozpočet - HW a licencie'!$A$3:$A$102,'TCO TO BE - HW'!H$2,'Rozpočet - HW a licencie'!$C$3:$C$102,"SW pre HW",'Rozpočet - HW a licencie'!$G$3:$G$102,'TCO TO BE - HW'!$D5,'Rozpočet - HW a licencie'!$D$3:$D$102,'TCO TO BE - HW'!$B$15),)</f>
        <v>0</v>
      </c>
      <c r="I15" s="564">
        <f>IFERROR(SUMIFS('Rozpočet - HW a licencie'!$I$3:$I$102,'Rozpočet - HW a licencie'!$A$3:$A$102,'TCO TO BE - HW'!I$2,'Rozpočet - HW a licencie'!$C$3:$C$102,"HW",'Rozpočet - HW a licencie'!$G$3:$G$102,'TCO TO BE - HW'!$D5,'Rozpočet - HW a licencie'!$D$3:$D$102,'TCO TO BE - HW'!$B$15)+SUMIFS('Rozpočet - HW a licencie'!$I$3:$I$102,'Rozpočet - HW a licencie'!$A$3:$A$102,'TCO TO BE - HW'!I$2,'Rozpočet - HW a licencie'!$C$3:$C$102,"SW pre HW",'Rozpočet - HW a licencie'!$G$3:$G$102,'TCO TO BE - HW'!$D5,'Rozpočet - HW a licencie'!$D$3:$D$102,'TCO TO BE - HW'!$B$15),)</f>
        <v>0</v>
      </c>
      <c r="J15" s="564">
        <f>IFERROR(SUMIFS('Rozpočet - HW a licencie'!$I$3:$I$102,'Rozpočet - HW a licencie'!$A$3:$A$102,'TCO TO BE - HW'!J$2,'Rozpočet - HW a licencie'!$C$3:$C$102,"HW",'Rozpočet - HW a licencie'!$G$3:$G$102,'TCO TO BE - HW'!$D5,'Rozpočet - HW a licencie'!$D$3:$D$102,'TCO TO BE - HW'!$B$15)+SUMIFS('Rozpočet - HW a licencie'!$I$3:$I$102,'Rozpočet - HW a licencie'!$A$3:$A$102,'TCO TO BE - HW'!J$2,'Rozpočet - HW a licencie'!$C$3:$C$102,"SW pre HW",'Rozpočet - HW a licencie'!$G$3:$G$102,'TCO TO BE - HW'!$D5,'Rozpočet - HW a licencie'!$D$3:$D$102,'TCO TO BE - HW'!$B$15),)</f>
        <v>0</v>
      </c>
      <c r="K15" s="564">
        <f>IFERROR(SUMIFS('Rozpočet - HW a licencie'!$I$3:$I$102,'Rozpočet - HW a licencie'!$A$3:$A$102,'TCO TO BE - HW'!K$2,'Rozpočet - HW a licencie'!$C$3:$C$102,"HW",'Rozpočet - HW a licencie'!$G$3:$G$102,'TCO TO BE - HW'!$D5,'Rozpočet - HW a licencie'!$D$3:$D$102,'TCO TO BE - HW'!$B$15)+SUMIFS('Rozpočet - HW a licencie'!$I$3:$I$102,'Rozpočet - HW a licencie'!$A$3:$A$102,'TCO TO BE - HW'!K$2,'Rozpočet - HW a licencie'!$C$3:$C$102,"SW pre HW",'Rozpočet - HW a licencie'!$G$3:$G$102,'TCO TO BE - HW'!$D5,'Rozpočet - HW a licencie'!$D$3:$D$102,'TCO TO BE - HW'!$B$15),)</f>
        <v>0</v>
      </c>
      <c r="L15" s="564">
        <f>IFERROR(SUMIFS('Rozpočet - HW a licencie'!$I$3:$I$102,'Rozpočet - HW a licencie'!$A$3:$A$102,'TCO TO BE - HW'!L$2,'Rozpočet - HW a licencie'!$C$3:$C$102,"HW",'Rozpočet - HW a licencie'!$G$3:$G$102,'TCO TO BE - HW'!$D5,'Rozpočet - HW a licencie'!$D$3:$D$102,'TCO TO BE - HW'!$B$15)+SUMIFS('Rozpočet - HW a licencie'!$I$3:$I$102,'Rozpočet - HW a licencie'!$A$3:$A$102,'TCO TO BE - HW'!L$2,'Rozpočet - HW a licencie'!$C$3:$C$102,"SW pre HW",'Rozpočet - HW a licencie'!$G$3:$G$102,'TCO TO BE - HW'!$D5,'Rozpočet - HW a licencie'!$D$3:$D$102,'TCO TO BE - HW'!$B$15),)</f>
        <v>0</v>
      </c>
      <c r="M15" s="564">
        <f>IFERROR(SUMIFS('Rozpočet - HW a licencie'!$I$3:$I$102,'Rozpočet - HW a licencie'!$A$3:$A$102,'TCO TO BE - HW'!M$2,'Rozpočet - HW a licencie'!$C$3:$C$102,"HW",'Rozpočet - HW a licencie'!$G$3:$G$102,'TCO TO BE - HW'!$D5,'Rozpočet - HW a licencie'!$D$3:$D$102,'TCO TO BE - HW'!$B$15)+SUMIFS('Rozpočet - HW a licencie'!$I$3:$I$102,'Rozpočet - HW a licencie'!$A$3:$A$102,'TCO TO BE - HW'!M$2,'Rozpočet - HW a licencie'!$C$3:$C$102,"SW pre HW",'Rozpočet - HW a licencie'!$G$3:$G$102,'TCO TO BE - HW'!$D5,'Rozpočet - HW a licencie'!$D$3:$D$102,'TCO TO BE - HW'!$B$15),)</f>
        <v>0</v>
      </c>
      <c r="N15" s="564">
        <f>IFERROR(SUMIFS('Rozpočet - HW a licencie'!$I$3:$I$102,'Rozpočet - HW a licencie'!$A$3:$A$102,'TCO TO BE - HW'!N$2,'Rozpočet - HW a licencie'!$C$3:$C$102,"HW",'Rozpočet - HW a licencie'!$G$3:$G$102,'TCO TO BE - HW'!$D5,'Rozpočet - HW a licencie'!$D$3:$D$102,'TCO TO BE - HW'!$B$15)+SUMIFS('Rozpočet - HW a licencie'!$I$3:$I$102,'Rozpočet - HW a licencie'!$A$3:$A$102,'TCO TO BE - HW'!N$2,'Rozpočet - HW a licencie'!$C$3:$C$102,"SW pre HW",'Rozpočet - HW a licencie'!$G$3:$G$102,'TCO TO BE - HW'!$D5,'Rozpočet - HW a licencie'!$D$3:$D$102,'TCO TO BE - HW'!$B$15),)</f>
        <v>0</v>
      </c>
      <c r="O15" s="564">
        <f>IFERROR(SUMIFS('Rozpočet - HW a licencie'!$I$3:$I$102,'Rozpočet - HW a licencie'!$A$3:$A$102,'TCO TO BE - HW'!O$2,'Rozpočet - HW a licencie'!$C$3:$C$102,"HW",'Rozpočet - HW a licencie'!$G$3:$G$102,'TCO TO BE - HW'!$D5,'Rozpočet - HW a licencie'!$D$3:$D$102,'TCO TO BE - HW'!$B$15)+SUMIFS('Rozpočet - HW a licencie'!$I$3:$I$102,'Rozpočet - HW a licencie'!$A$3:$A$102,'TCO TO BE - HW'!O$2,'Rozpočet - HW a licencie'!$C$3:$C$102,"SW pre HW",'Rozpočet - HW a licencie'!$G$3:$G$102,'TCO TO BE - HW'!$D5,'Rozpočet - HW a licencie'!$D$3:$D$102,'TCO TO BE - HW'!$B$15),)</f>
        <v>0</v>
      </c>
      <c r="P15" s="564">
        <f>IFERROR(SUMIFS('Rozpočet - HW a licencie'!$I$3:$I$102,'Rozpočet - HW a licencie'!$A$3:$A$102,'TCO TO BE - HW'!P$2,'Rozpočet - HW a licencie'!$C$3:$C$102,"HW",'Rozpočet - HW a licencie'!$G$3:$G$102,'TCO TO BE - HW'!$D5,'Rozpočet - HW a licencie'!$D$3:$D$102,'TCO TO BE - HW'!$B$15)+SUMIFS('Rozpočet - HW a licencie'!$I$3:$I$102,'Rozpočet - HW a licencie'!$A$3:$A$102,'TCO TO BE - HW'!P$2,'Rozpočet - HW a licencie'!$C$3:$C$102,"SW pre HW",'Rozpočet - HW a licencie'!$G$3:$G$102,'TCO TO BE - HW'!$D5,'Rozpočet - HW a licencie'!$D$3:$D$102,'TCO TO BE - HW'!$B$15),)</f>
        <v>0</v>
      </c>
      <c r="Q15" s="564">
        <f>IFERROR(SUMIFS('Rozpočet - HW a licencie'!$I$3:$I$102,'Rozpočet - HW a licencie'!$A$3:$A$102,'TCO TO BE - HW'!Q$2,'Rozpočet - HW a licencie'!$C$3:$C$102,"HW",'Rozpočet - HW a licencie'!$G$3:$G$102,'TCO TO BE - HW'!$D5,'Rozpočet - HW a licencie'!$D$3:$D$102,'TCO TO BE - HW'!$B$15)+SUMIFS('Rozpočet - HW a licencie'!$I$3:$I$102,'Rozpočet - HW a licencie'!$A$3:$A$102,'TCO TO BE - HW'!Q$2,'Rozpočet - HW a licencie'!$C$3:$C$102,"SW pre HW",'Rozpočet - HW a licencie'!$G$3:$G$102,'TCO TO BE - HW'!$D5,'Rozpočet - HW a licencie'!$D$3:$D$102,'TCO TO BE - HW'!$B$15),)</f>
        <v>0</v>
      </c>
      <c r="R15" s="564">
        <f>IFERROR(SUMIFS('Rozpočet - HW a licencie'!$I$3:$I$102,'Rozpočet - HW a licencie'!$A$3:$A$102,'TCO TO BE - HW'!R$2,'Rozpočet - HW a licencie'!$C$3:$C$102,"HW",'Rozpočet - HW a licencie'!$G$3:$G$102,'TCO TO BE - HW'!$D5,'Rozpočet - HW a licencie'!$D$3:$D$102,'TCO TO BE - HW'!$B$15)+SUMIFS('Rozpočet - HW a licencie'!$I$3:$I$102,'Rozpočet - HW a licencie'!$A$3:$A$102,'TCO TO BE - HW'!R$2,'Rozpočet - HW a licencie'!$C$3:$C$102,"SW pre HW",'Rozpočet - HW a licencie'!$G$3:$G$102,'TCO TO BE - HW'!$D5,'Rozpočet - HW a licencie'!$D$3:$D$102,'TCO TO BE - HW'!$B$15),)</f>
        <v>0</v>
      </c>
      <c r="S15" s="564">
        <f>IFERROR(SUMIFS('Rozpočet - HW a licencie'!$I$3:$I$102,'Rozpočet - HW a licencie'!$A$3:$A$102,'TCO TO BE - HW'!S$2,'Rozpočet - HW a licencie'!$C$3:$C$102,"HW",'Rozpočet - HW a licencie'!$G$3:$G$102,'TCO TO BE - HW'!$D5,'Rozpočet - HW a licencie'!$D$3:$D$102,'TCO TO BE - HW'!$B$15)+SUMIFS('Rozpočet - HW a licencie'!$I$3:$I$102,'Rozpočet - HW a licencie'!$A$3:$A$102,'TCO TO BE - HW'!S$2,'Rozpočet - HW a licencie'!$C$3:$C$102,"SW pre HW",'Rozpočet - HW a licencie'!$G$3:$G$102,'TCO TO BE - HW'!$D5,'Rozpočet - HW a licencie'!$D$3:$D$102,'TCO TO BE - HW'!$B$15),)</f>
        <v>0</v>
      </c>
      <c r="T15" s="564">
        <f>IFERROR(SUMIFS('Rozpočet - HW a licencie'!$I$3:$I$102,'Rozpočet - HW a licencie'!$A$3:$A$102,'TCO TO BE - HW'!T$2,'Rozpočet - HW a licencie'!$C$3:$C$102,"HW",'Rozpočet - HW a licencie'!$G$3:$G$102,'TCO TO BE - HW'!$D5,'Rozpočet - HW a licencie'!$D$3:$D$102,'TCO TO BE - HW'!$B$15)+SUMIFS('Rozpočet - HW a licencie'!$I$3:$I$102,'Rozpočet - HW a licencie'!$A$3:$A$102,'TCO TO BE - HW'!T$2,'Rozpočet - HW a licencie'!$C$3:$C$102,"SW pre HW",'Rozpočet - HW a licencie'!$G$3:$G$102,'TCO TO BE - HW'!$D5,'Rozpočet - HW a licencie'!$D$3:$D$102,'TCO TO BE - HW'!$B$15),)</f>
        <v>0</v>
      </c>
      <c r="U15" s="564">
        <f>IFERROR(SUMIFS('Rozpočet - HW a licencie'!$I$3:$I$102,'Rozpočet - HW a licencie'!$A$3:$A$102,'TCO TO BE - HW'!U$2,'Rozpočet - HW a licencie'!$C$3:$C$102,"HW",'Rozpočet - HW a licencie'!$G$3:$G$102,'TCO TO BE - HW'!$D5,'Rozpočet - HW a licencie'!$D$3:$D$102,'TCO TO BE - HW'!$B$15)+SUMIFS('Rozpočet - HW a licencie'!$I$3:$I$102,'Rozpočet - HW a licencie'!$A$3:$A$102,'TCO TO BE - HW'!U$2,'Rozpočet - HW a licencie'!$C$3:$C$102,"SW pre HW",'Rozpočet - HW a licencie'!$G$3:$G$102,'TCO TO BE - HW'!$D5,'Rozpočet - HW a licencie'!$D$3:$D$102,'TCO TO BE - HW'!$B$15),)</f>
        <v>0</v>
      </c>
      <c r="V15" s="564">
        <f>IFERROR(SUMIFS('Rozpočet - HW a licencie'!$I$3:$I$102,'Rozpočet - HW a licencie'!$A$3:$A$102,'TCO TO BE - HW'!V$2,'Rozpočet - HW a licencie'!$C$3:$C$102,"HW",'Rozpočet - HW a licencie'!$G$3:$G$102,'TCO TO BE - HW'!$D5,'Rozpočet - HW a licencie'!$D$3:$D$102,'TCO TO BE - HW'!$B$15)+SUMIFS('Rozpočet - HW a licencie'!$I$3:$I$102,'Rozpočet - HW a licencie'!$A$3:$A$102,'TCO TO BE - HW'!V$2,'Rozpočet - HW a licencie'!$C$3:$C$102,"SW pre HW",'Rozpočet - HW a licencie'!$G$3:$G$102,'TCO TO BE - HW'!$D5,'Rozpočet - HW a licencie'!$D$3:$D$102,'TCO TO BE - HW'!$B$15),)</f>
        <v>0</v>
      </c>
      <c r="W15" s="564">
        <f>IFERROR(SUMIFS('Rozpočet - HW a licencie'!$I$3:$I$102,'Rozpočet - HW a licencie'!$A$3:$A$102,'TCO TO BE - HW'!W$2,'Rozpočet - HW a licencie'!$C$3:$C$102,"HW",'Rozpočet - HW a licencie'!$G$3:$G$102,'TCO TO BE - HW'!$D5,'Rozpočet - HW a licencie'!$D$3:$D$102,'TCO TO BE - HW'!$B$15)+SUMIFS('Rozpočet - HW a licencie'!$I$3:$I$102,'Rozpočet - HW a licencie'!$A$3:$A$102,'TCO TO BE - HW'!W$2,'Rozpočet - HW a licencie'!$C$3:$C$102,"SW pre HW",'Rozpočet - HW a licencie'!$G$3:$G$102,'TCO TO BE - HW'!$D5,'Rozpočet - HW a licencie'!$D$3:$D$102,'TCO TO BE - HW'!$B$15),)</f>
        <v>0</v>
      </c>
      <c r="X15" s="564">
        <f>IFERROR(SUMIFS('Rozpočet - HW a licencie'!$I$3:$I$102,'Rozpočet - HW a licencie'!$A$3:$A$102,'TCO TO BE - HW'!X$2,'Rozpočet - HW a licencie'!$C$3:$C$102,"HW",'Rozpočet - HW a licencie'!$G$3:$G$102,'TCO TO BE - HW'!$D5,'Rozpočet - HW a licencie'!$D$3:$D$102,'TCO TO BE - HW'!$B$15)+SUMIFS('Rozpočet - HW a licencie'!$I$3:$I$102,'Rozpočet - HW a licencie'!$A$3:$A$102,'TCO TO BE - HW'!X$2,'Rozpočet - HW a licencie'!$C$3:$C$102,"SW pre HW",'Rozpočet - HW a licencie'!$G$3:$G$102,'TCO TO BE - HW'!$D5,'Rozpočet - HW a licencie'!$D$3:$D$102,'TCO TO BE - HW'!$B$15),)</f>
        <v>0</v>
      </c>
      <c r="Y15" s="564">
        <f>IFERROR(SUMIFS('Rozpočet - HW a licencie'!$I$3:$I$102,'Rozpočet - HW a licencie'!$A$3:$A$102,'TCO TO BE - HW'!Y$2,'Rozpočet - HW a licencie'!$C$3:$C$102,"HW",'Rozpočet - HW a licencie'!$G$3:$G$102,'TCO TO BE - HW'!$D5,'Rozpočet - HW a licencie'!$D$3:$D$102,'TCO TO BE - HW'!$B$15)+SUMIFS('Rozpočet - HW a licencie'!$I$3:$I$102,'Rozpočet - HW a licencie'!$A$3:$A$102,'TCO TO BE - HW'!Y$2,'Rozpočet - HW a licencie'!$C$3:$C$102,"SW pre HW",'Rozpočet - HW a licencie'!$G$3:$G$102,'TCO TO BE - HW'!$D5,'Rozpočet - HW a licencie'!$D$3:$D$102,'TCO TO BE - HW'!$B$15),)</f>
        <v>0</v>
      </c>
      <c r="Z15" s="564">
        <f>IFERROR(SUMIFS('Rozpočet - HW a licencie'!$I$3:$I$102,'Rozpočet - HW a licencie'!$A$3:$A$102,'TCO TO BE - HW'!Z$2,'Rozpočet - HW a licencie'!$C$3:$C$102,"HW",'Rozpočet - HW a licencie'!$G$3:$G$102,'TCO TO BE - HW'!$D5,'Rozpočet - HW a licencie'!$D$3:$D$102,'TCO TO BE - HW'!$B$15)+SUMIFS('Rozpočet - HW a licencie'!$I$3:$I$102,'Rozpočet - HW a licencie'!$A$3:$A$102,'TCO TO BE - HW'!Z$2,'Rozpočet - HW a licencie'!$C$3:$C$102,"SW pre HW",'Rozpočet - HW a licencie'!$G$3:$G$102,'TCO TO BE - HW'!$D5,'Rozpočet - HW a licencie'!$D$3:$D$102,'TCO TO BE - HW'!$B$15),)</f>
        <v>0</v>
      </c>
    </row>
    <row r="16" spans="1:26" outlineLevel="1">
      <c r="A16" s="807"/>
      <c r="B16" s="808"/>
      <c r="C16" s="808"/>
      <c r="D16" s="487">
        <v>2</v>
      </c>
      <c r="E16" s="68">
        <f t="shared" si="2"/>
        <v>0</v>
      </c>
      <c r="F16" s="565">
        <f>IFERROR(SUMIFS('Rozpočet - HW a licencie'!$I$3:$I$102,'Rozpočet - HW a licencie'!$A$3:$A$102,'TCO TO BE - HW'!F$2,'Rozpočet - HW a licencie'!$C$3:$C$102,"HW",'Rozpočet - HW a licencie'!$G$3:$G$102,'TCO TO BE - HW'!$D6,'Rozpočet - HW a licencie'!$D$3:$D$102,'TCO TO BE - HW'!$B$15)+SUMIFS('Rozpočet - HW a licencie'!$I$3:$I$102,'Rozpočet - HW a licencie'!$A$3:$A$102,'TCO TO BE - HW'!F$2,'Rozpočet - HW a licencie'!$C$3:$C$102,"SW pre HW",'Rozpočet - HW a licencie'!$G$3:$G$102,'TCO TO BE - HW'!$D6,'Rozpočet - HW a licencie'!$D$3:$D$102,'TCO TO BE - HW'!$B$15),)</f>
        <v>0</v>
      </c>
      <c r="G16" s="565">
        <f>IFERROR(SUMIFS('Rozpočet - HW a licencie'!$I$3:$I$102,'Rozpočet - HW a licencie'!$A$3:$A$102,'TCO TO BE - HW'!G$2,'Rozpočet - HW a licencie'!$C$3:$C$102,"HW",'Rozpočet - HW a licencie'!$G$3:$G$102,'TCO TO BE - HW'!$D6,'Rozpočet - HW a licencie'!$D$3:$D$102,'TCO TO BE - HW'!$B$15)+SUMIFS('Rozpočet - HW a licencie'!$I$3:$I$102,'Rozpočet - HW a licencie'!$A$3:$A$102,'TCO TO BE - HW'!G$2,'Rozpočet - HW a licencie'!$C$3:$C$102,"SW pre HW",'Rozpočet - HW a licencie'!$G$3:$G$102,'TCO TO BE - HW'!$D6,'Rozpočet - HW a licencie'!$D$3:$D$102,'TCO TO BE - HW'!$B$15),)</f>
        <v>0</v>
      </c>
      <c r="H16" s="565">
        <f>IFERROR(SUMIFS('Rozpočet - HW a licencie'!$I$3:$I$102,'Rozpočet - HW a licencie'!$A$3:$A$102,'TCO TO BE - HW'!H$2,'Rozpočet - HW a licencie'!$C$3:$C$102,"HW",'Rozpočet - HW a licencie'!$G$3:$G$102,'TCO TO BE - HW'!$D6,'Rozpočet - HW a licencie'!$D$3:$D$102,'TCO TO BE - HW'!$B$15)+SUMIFS('Rozpočet - HW a licencie'!$I$3:$I$102,'Rozpočet - HW a licencie'!$A$3:$A$102,'TCO TO BE - HW'!H$2,'Rozpočet - HW a licencie'!$C$3:$C$102,"SW pre HW",'Rozpočet - HW a licencie'!$G$3:$G$102,'TCO TO BE - HW'!$D6,'Rozpočet - HW a licencie'!$D$3:$D$102,'TCO TO BE - HW'!$B$15),)</f>
        <v>0</v>
      </c>
      <c r="I16" s="565">
        <f>IFERROR(SUMIFS('Rozpočet - HW a licencie'!$I$3:$I$102,'Rozpočet - HW a licencie'!$A$3:$A$102,'TCO TO BE - HW'!I$2,'Rozpočet - HW a licencie'!$C$3:$C$102,"HW",'Rozpočet - HW a licencie'!$G$3:$G$102,'TCO TO BE - HW'!$D6,'Rozpočet - HW a licencie'!$D$3:$D$102,'TCO TO BE - HW'!$B$15)+SUMIFS('Rozpočet - HW a licencie'!$I$3:$I$102,'Rozpočet - HW a licencie'!$A$3:$A$102,'TCO TO BE - HW'!I$2,'Rozpočet - HW a licencie'!$C$3:$C$102,"SW pre HW",'Rozpočet - HW a licencie'!$G$3:$G$102,'TCO TO BE - HW'!$D6,'Rozpočet - HW a licencie'!$D$3:$D$102,'TCO TO BE - HW'!$B$15),)</f>
        <v>0</v>
      </c>
      <c r="J16" s="565">
        <f>IFERROR(SUMIFS('Rozpočet - HW a licencie'!$I$3:$I$102,'Rozpočet - HW a licencie'!$A$3:$A$102,'TCO TO BE - HW'!J$2,'Rozpočet - HW a licencie'!$C$3:$C$102,"HW",'Rozpočet - HW a licencie'!$G$3:$G$102,'TCO TO BE - HW'!$D6,'Rozpočet - HW a licencie'!$D$3:$D$102,'TCO TO BE - HW'!$B$15)+SUMIFS('Rozpočet - HW a licencie'!$I$3:$I$102,'Rozpočet - HW a licencie'!$A$3:$A$102,'TCO TO BE - HW'!J$2,'Rozpočet - HW a licencie'!$C$3:$C$102,"SW pre HW",'Rozpočet - HW a licencie'!$G$3:$G$102,'TCO TO BE - HW'!$D6,'Rozpočet - HW a licencie'!$D$3:$D$102,'TCO TO BE - HW'!$B$15),)</f>
        <v>0</v>
      </c>
      <c r="K16" s="565">
        <f>IFERROR(SUMIFS('Rozpočet - HW a licencie'!$I$3:$I$102,'Rozpočet - HW a licencie'!$A$3:$A$102,'TCO TO BE - HW'!K$2,'Rozpočet - HW a licencie'!$C$3:$C$102,"HW",'Rozpočet - HW a licencie'!$G$3:$G$102,'TCO TO BE - HW'!$D6,'Rozpočet - HW a licencie'!$D$3:$D$102,'TCO TO BE - HW'!$B$15)+SUMIFS('Rozpočet - HW a licencie'!$I$3:$I$102,'Rozpočet - HW a licencie'!$A$3:$A$102,'TCO TO BE - HW'!K$2,'Rozpočet - HW a licencie'!$C$3:$C$102,"SW pre HW",'Rozpočet - HW a licencie'!$G$3:$G$102,'TCO TO BE - HW'!$D6,'Rozpočet - HW a licencie'!$D$3:$D$102,'TCO TO BE - HW'!$B$15),)</f>
        <v>0</v>
      </c>
      <c r="L16" s="565">
        <f>IFERROR(SUMIFS('Rozpočet - HW a licencie'!$I$3:$I$102,'Rozpočet - HW a licencie'!$A$3:$A$102,'TCO TO BE - HW'!L$2,'Rozpočet - HW a licencie'!$C$3:$C$102,"HW",'Rozpočet - HW a licencie'!$G$3:$G$102,'TCO TO BE - HW'!$D6,'Rozpočet - HW a licencie'!$D$3:$D$102,'TCO TO BE - HW'!$B$15)+SUMIFS('Rozpočet - HW a licencie'!$I$3:$I$102,'Rozpočet - HW a licencie'!$A$3:$A$102,'TCO TO BE - HW'!L$2,'Rozpočet - HW a licencie'!$C$3:$C$102,"SW pre HW",'Rozpočet - HW a licencie'!$G$3:$G$102,'TCO TO BE - HW'!$D6,'Rozpočet - HW a licencie'!$D$3:$D$102,'TCO TO BE - HW'!$B$15),)</f>
        <v>0</v>
      </c>
      <c r="M16" s="565">
        <f>IFERROR(SUMIFS('Rozpočet - HW a licencie'!$I$3:$I$102,'Rozpočet - HW a licencie'!$A$3:$A$102,'TCO TO BE - HW'!M$2,'Rozpočet - HW a licencie'!$C$3:$C$102,"HW",'Rozpočet - HW a licencie'!$G$3:$G$102,'TCO TO BE - HW'!$D6,'Rozpočet - HW a licencie'!$D$3:$D$102,'TCO TO BE - HW'!$B$15)+SUMIFS('Rozpočet - HW a licencie'!$I$3:$I$102,'Rozpočet - HW a licencie'!$A$3:$A$102,'TCO TO BE - HW'!M$2,'Rozpočet - HW a licencie'!$C$3:$C$102,"SW pre HW",'Rozpočet - HW a licencie'!$G$3:$G$102,'TCO TO BE - HW'!$D6,'Rozpočet - HW a licencie'!$D$3:$D$102,'TCO TO BE - HW'!$B$15),)</f>
        <v>0</v>
      </c>
      <c r="N16" s="565">
        <f>IFERROR(SUMIFS('Rozpočet - HW a licencie'!$I$3:$I$102,'Rozpočet - HW a licencie'!$A$3:$A$102,'TCO TO BE - HW'!N$2,'Rozpočet - HW a licencie'!$C$3:$C$102,"HW",'Rozpočet - HW a licencie'!$G$3:$G$102,'TCO TO BE - HW'!$D6,'Rozpočet - HW a licencie'!$D$3:$D$102,'TCO TO BE - HW'!$B$15)+SUMIFS('Rozpočet - HW a licencie'!$I$3:$I$102,'Rozpočet - HW a licencie'!$A$3:$A$102,'TCO TO BE - HW'!N$2,'Rozpočet - HW a licencie'!$C$3:$C$102,"SW pre HW",'Rozpočet - HW a licencie'!$G$3:$G$102,'TCO TO BE - HW'!$D6,'Rozpočet - HW a licencie'!$D$3:$D$102,'TCO TO BE - HW'!$B$15),)</f>
        <v>0</v>
      </c>
      <c r="O16" s="565">
        <f>IFERROR(SUMIFS('Rozpočet - HW a licencie'!$I$3:$I$102,'Rozpočet - HW a licencie'!$A$3:$A$102,'TCO TO BE - HW'!O$2,'Rozpočet - HW a licencie'!$C$3:$C$102,"HW",'Rozpočet - HW a licencie'!$G$3:$G$102,'TCO TO BE - HW'!$D6,'Rozpočet - HW a licencie'!$D$3:$D$102,'TCO TO BE - HW'!$B$15)+SUMIFS('Rozpočet - HW a licencie'!$I$3:$I$102,'Rozpočet - HW a licencie'!$A$3:$A$102,'TCO TO BE - HW'!O$2,'Rozpočet - HW a licencie'!$C$3:$C$102,"SW pre HW",'Rozpočet - HW a licencie'!$G$3:$G$102,'TCO TO BE - HW'!$D6,'Rozpočet - HW a licencie'!$D$3:$D$102,'TCO TO BE - HW'!$B$15),)</f>
        <v>0</v>
      </c>
      <c r="P16" s="565">
        <f>IFERROR(SUMIFS('Rozpočet - HW a licencie'!$I$3:$I$102,'Rozpočet - HW a licencie'!$A$3:$A$102,'TCO TO BE - HW'!P$2,'Rozpočet - HW a licencie'!$C$3:$C$102,"HW",'Rozpočet - HW a licencie'!$G$3:$G$102,'TCO TO BE - HW'!$D6,'Rozpočet - HW a licencie'!$D$3:$D$102,'TCO TO BE - HW'!$B$15)+SUMIFS('Rozpočet - HW a licencie'!$I$3:$I$102,'Rozpočet - HW a licencie'!$A$3:$A$102,'TCO TO BE - HW'!P$2,'Rozpočet - HW a licencie'!$C$3:$C$102,"SW pre HW",'Rozpočet - HW a licencie'!$G$3:$G$102,'TCO TO BE - HW'!$D6,'Rozpočet - HW a licencie'!$D$3:$D$102,'TCO TO BE - HW'!$B$15),)</f>
        <v>0</v>
      </c>
      <c r="Q16" s="565">
        <f>IFERROR(SUMIFS('Rozpočet - HW a licencie'!$I$3:$I$102,'Rozpočet - HW a licencie'!$A$3:$A$102,'TCO TO BE - HW'!Q$2,'Rozpočet - HW a licencie'!$C$3:$C$102,"HW",'Rozpočet - HW a licencie'!$G$3:$G$102,'TCO TO BE - HW'!$D6,'Rozpočet - HW a licencie'!$D$3:$D$102,'TCO TO BE - HW'!$B$15)+SUMIFS('Rozpočet - HW a licencie'!$I$3:$I$102,'Rozpočet - HW a licencie'!$A$3:$A$102,'TCO TO BE - HW'!Q$2,'Rozpočet - HW a licencie'!$C$3:$C$102,"SW pre HW",'Rozpočet - HW a licencie'!$G$3:$G$102,'TCO TO BE - HW'!$D6,'Rozpočet - HW a licencie'!$D$3:$D$102,'TCO TO BE - HW'!$B$15),)</f>
        <v>0</v>
      </c>
      <c r="R16" s="565">
        <f>IFERROR(SUMIFS('Rozpočet - HW a licencie'!$I$3:$I$102,'Rozpočet - HW a licencie'!$A$3:$A$102,'TCO TO BE - HW'!R$2,'Rozpočet - HW a licencie'!$C$3:$C$102,"HW",'Rozpočet - HW a licencie'!$G$3:$G$102,'TCO TO BE - HW'!$D6,'Rozpočet - HW a licencie'!$D$3:$D$102,'TCO TO BE - HW'!$B$15)+SUMIFS('Rozpočet - HW a licencie'!$I$3:$I$102,'Rozpočet - HW a licencie'!$A$3:$A$102,'TCO TO BE - HW'!R$2,'Rozpočet - HW a licencie'!$C$3:$C$102,"SW pre HW",'Rozpočet - HW a licencie'!$G$3:$G$102,'TCO TO BE - HW'!$D6,'Rozpočet - HW a licencie'!$D$3:$D$102,'TCO TO BE - HW'!$B$15),)</f>
        <v>0</v>
      </c>
      <c r="S16" s="565">
        <f>IFERROR(SUMIFS('Rozpočet - HW a licencie'!$I$3:$I$102,'Rozpočet - HW a licencie'!$A$3:$A$102,'TCO TO BE - HW'!S$2,'Rozpočet - HW a licencie'!$C$3:$C$102,"HW",'Rozpočet - HW a licencie'!$G$3:$G$102,'TCO TO BE - HW'!$D6,'Rozpočet - HW a licencie'!$D$3:$D$102,'TCO TO BE - HW'!$B$15)+SUMIFS('Rozpočet - HW a licencie'!$I$3:$I$102,'Rozpočet - HW a licencie'!$A$3:$A$102,'TCO TO BE - HW'!S$2,'Rozpočet - HW a licencie'!$C$3:$C$102,"SW pre HW",'Rozpočet - HW a licencie'!$G$3:$G$102,'TCO TO BE - HW'!$D6,'Rozpočet - HW a licencie'!$D$3:$D$102,'TCO TO BE - HW'!$B$15),)</f>
        <v>0</v>
      </c>
      <c r="T16" s="565">
        <f>IFERROR(SUMIFS('Rozpočet - HW a licencie'!$I$3:$I$102,'Rozpočet - HW a licencie'!$A$3:$A$102,'TCO TO BE - HW'!T$2,'Rozpočet - HW a licencie'!$C$3:$C$102,"HW",'Rozpočet - HW a licencie'!$G$3:$G$102,'TCO TO BE - HW'!$D6,'Rozpočet - HW a licencie'!$D$3:$D$102,'TCO TO BE - HW'!$B$15)+SUMIFS('Rozpočet - HW a licencie'!$I$3:$I$102,'Rozpočet - HW a licencie'!$A$3:$A$102,'TCO TO BE - HW'!T$2,'Rozpočet - HW a licencie'!$C$3:$C$102,"SW pre HW",'Rozpočet - HW a licencie'!$G$3:$G$102,'TCO TO BE - HW'!$D6,'Rozpočet - HW a licencie'!$D$3:$D$102,'TCO TO BE - HW'!$B$15),)</f>
        <v>0</v>
      </c>
      <c r="U16" s="565">
        <f>IFERROR(SUMIFS('Rozpočet - HW a licencie'!$I$3:$I$102,'Rozpočet - HW a licencie'!$A$3:$A$102,'TCO TO BE - HW'!U$2,'Rozpočet - HW a licencie'!$C$3:$C$102,"HW",'Rozpočet - HW a licencie'!$G$3:$G$102,'TCO TO BE - HW'!$D6,'Rozpočet - HW a licencie'!$D$3:$D$102,'TCO TO BE - HW'!$B$15)+SUMIFS('Rozpočet - HW a licencie'!$I$3:$I$102,'Rozpočet - HW a licencie'!$A$3:$A$102,'TCO TO BE - HW'!U$2,'Rozpočet - HW a licencie'!$C$3:$C$102,"SW pre HW",'Rozpočet - HW a licencie'!$G$3:$G$102,'TCO TO BE - HW'!$D6,'Rozpočet - HW a licencie'!$D$3:$D$102,'TCO TO BE - HW'!$B$15),)</f>
        <v>0</v>
      </c>
      <c r="V16" s="565">
        <f>IFERROR(SUMIFS('Rozpočet - HW a licencie'!$I$3:$I$102,'Rozpočet - HW a licencie'!$A$3:$A$102,'TCO TO BE - HW'!V$2,'Rozpočet - HW a licencie'!$C$3:$C$102,"HW",'Rozpočet - HW a licencie'!$G$3:$G$102,'TCO TO BE - HW'!$D6,'Rozpočet - HW a licencie'!$D$3:$D$102,'TCO TO BE - HW'!$B$15)+SUMIFS('Rozpočet - HW a licencie'!$I$3:$I$102,'Rozpočet - HW a licencie'!$A$3:$A$102,'TCO TO BE - HW'!V$2,'Rozpočet - HW a licencie'!$C$3:$C$102,"SW pre HW",'Rozpočet - HW a licencie'!$G$3:$G$102,'TCO TO BE - HW'!$D6,'Rozpočet - HW a licencie'!$D$3:$D$102,'TCO TO BE - HW'!$B$15),)</f>
        <v>0</v>
      </c>
      <c r="W16" s="565">
        <f>IFERROR(SUMIFS('Rozpočet - HW a licencie'!$I$3:$I$102,'Rozpočet - HW a licencie'!$A$3:$A$102,'TCO TO BE - HW'!W$2,'Rozpočet - HW a licencie'!$C$3:$C$102,"HW",'Rozpočet - HW a licencie'!$G$3:$G$102,'TCO TO BE - HW'!$D6,'Rozpočet - HW a licencie'!$D$3:$D$102,'TCO TO BE - HW'!$B$15)+SUMIFS('Rozpočet - HW a licencie'!$I$3:$I$102,'Rozpočet - HW a licencie'!$A$3:$A$102,'TCO TO BE - HW'!W$2,'Rozpočet - HW a licencie'!$C$3:$C$102,"SW pre HW",'Rozpočet - HW a licencie'!$G$3:$G$102,'TCO TO BE - HW'!$D6,'Rozpočet - HW a licencie'!$D$3:$D$102,'TCO TO BE - HW'!$B$15),)</f>
        <v>0</v>
      </c>
      <c r="X16" s="565">
        <f>IFERROR(SUMIFS('Rozpočet - HW a licencie'!$I$3:$I$102,'Rozpočet - HW a licencie'!$A$3:$A$102,'TCO TO BE - HW'!X$2,'Rozpočet - HW a licencie'!$C$3:$C$102,"HW",'Rozpočet - HW a licencie'!$G$3:$G$102,'TCO TO BE - HW'!$D6,'Rozpočet - HW a licencie'!$D$3:$D$102,'TCO TO BE - HW'!$B$15)+SUMIFS('Rozpočet - HW a licencie'!$I$3:$I$102,'Rozpočet - HW a licencie'!$A$3:$A$102,'TCO TO BE - HW'!X$2,'Rozpočet - HW a licencie'!$C$3:$C$102,"SW pre HW",'Rozpočet - HW a licencie'!$G$3:$G$102,'TCO TO BE - HW'!$D6,'Rozpočet - HW a licencie'!$D$3:$D$102,'TCO TO BE - HW'!$B$15),)</f>
        <v>0</v>
      </c>
      <c r="Y16" s="565">
        <f>IFERROR(SUMIFS('Rozpočet - HW a licencie'!$I$3:$I$102,'Rozpočet - HW a licencie'!$A$3:$A$102,'TCO TO BE - HW'!Y$2,'Rozpočet - HW a licencie'!$C$3:$C$102,"HW",'Rozpočet - HW a licencie'!$G$3:$G$102,'TCO TO BE - HW'!$D6,'Rozpočet - HW a licencie'!$D$3:$D$102,'TCO TO BE - HW'!$B$15)+SUMIFS('Rozpočet - HW a licencie'!$I$3:$I$102,'Rozpočet - HW a licencie'!$A$3:$A$102,'TCO TO BE - HW'!Y$2,'Rozpočet - HW a licencie'!$C$3:$C$102,"SW pre HW",'Rozpočet - HW a licencie'!$G$3:$G$102,'TCO TO BE - HW'!$D6,'Rozpočet - HW a licencie'!$D$3:$D$102,'TCO TO BE - HW'!$B$15),)</f>
        <v>0</v>
      </c>
      <c r="Z16" s="565">
        <f>IFERROR(SUMIFS('Rozpočet - HW a licencie'!$I$3:$I$102,'Rozpočet - HW a licencie'!$A$3:$A$102,'TCO TO BE - HW'!Z$2,'Rozpočet - HW a licencie'!$C$3:$C$102,"HW",'Rozpočet - HW a licencie'!$G$3:$G$102,'TCO TO BE - HW'!$D6,'Rozpočet - HW a licencie'!$D$3:$D$102,'TCO TO BE - HW'!$B$15)+SUMIFS('Rozpočet - HW a licencie'!$I$3:$I$102,'Rozpočet - HW a licencie'!$A$3:$A$102,'TCO TO BE - HW'!Z$2,'Rozpočet - HW a licencie'!$C$3:$C$102,"SW pre HW",'Rozpočet - HW a licencie'!$G$3:$G$102,'TCO TO BE - HW'!$D6,'Rozpočet - HW a licencie'!$D$3:$D$102,'TCO TO BE - HW'!$B$15),)</f>
        <v>0</v>
      </c>
    </row>
    <row r="17" spans="1:26" outlineLevel="1">
      <c r="A17" s="807"/>
      <c r="B17" s="808"/>
      <c r="C17" s="808"/>
      <c r="D17" s="487">
        <v>3</v>
      </c>
      <c r="E17" s="68">
        <f t="shared" si="2"/>
        <v>0</v>
      </c>
      <c r="F17" s="565">
        <f>IFERROR(SUMIFS('Rozpočet - HW a licencie'!$I$3:$I$102,'Rozpočet - HW a licencie'!$A$3:$A$102,'TCO TO BE - HW'!F$2,'Rozpočet - HW a licencie'!$C$3:$C$102,"HW",'Rozpočet - HW a licencie'!$G$3:$G$102,'TCO TO BE - HW'!$D7,'Rozpočet - HW a licencie'!$D$3:$D$102,'TCO TO BE - HW'!$B$15)+SUMIFS('Rozpočet - HW a licencie'!$I$3:$I$102,'Rozpočet - HW a licencie'!$A$3:$A$102,'TCO TO BE - HW'!F$2,'Rozpočet - HW a licencie'!$C$3:$C$102,"SW pre HW",'Rozpočet - HW a licencie'!$G$3:$G$102,'TCO TO BE - HW'!$D7,'Rozpočet - HW a licencie'!$D$3:$D$102,'TCO TO BE - HW'!$B$15),)</f>
        <v>0</v>
      </c>
      <c r="G17" s="565">
        <f>IFERROR(SUMIFS('Rozpočet - HW a licencie'!$I$3:$I$102,'Rozpočet - HW a licencie'!$A$3:$A$102,'TCO TO BE - HW'!G$2,'Rozpočet - HW a licencie'!$C$3:$C$102,"HW",'Rozpočet - HW a licencie'!$G$3:$G$102,'TCO TO BE - HW'!$D7,'Rozpočet - HW a licencie'!$D$3:$D$102,'TCO TO BE - HW'!$B$15)+SUMIFS('Rozpočet - HW a licencie'!$I$3:$I$102,'Rozpočet - HW a licencie'!$A$3:$A$102,'TCO TO BE - HW'!G$2,'Rozpočet - HW a licencie'!$C$3:$C$102,"SW pre HW",'Rozpočet - HW a licencie'!$G$3:$G$102,'TCO TO BE - HW'!$D7,'Rozpočet - HW a licencie'!$D$3:$D$102,'TCO TO BE - HW'!$B$15),)</f>
        <v>0</v>
      </c>
      <c r="H17" s="565">
        <f>IFERROR(SUMIFS('Rozpočet - HW a licencie'!$I$3:$I$102,'Rozpočet - HW a licencie'!$A$3:$A$102,'TCO TO BE - HW'!H$2,'Rozpočet - HW a licencie'!$C$3:$C$102,"HW",'Rozpočet - HW a licencie'!$G$3:$G$102,'TCO TO BE - HW'!$D7,'Rozpočet - HW a licencie'!$D$3:$D$102,'TCO TO BE - HW'!$B$15)+SUMIFS('Rozpočet - HW a licencie'!$I$3:$I$102,'Rozpočet - HW a licencie'!$A$3:$A$102,'TCO TO BE - HW'!H$2,'Rozpočet - HW a licencie'!$C$3:$C$102,"SW pre HW",'Rozpočet - HW a licencie'!$G$3:$G$102,'TCO TO BE - HW'!$D7,'Rozpočet - HW a licencie'!$D$3:$D$102,'TCO TO BE - HW'!$B$15),)</f>
        <v>0</v>
      </c>
      <c r="I17" s="565">
        <f>IFERROR(SUMIFS('Rozpočet - HW a licencie'!$I$3:$I$102,'Rozpočet - HW a licencie'!$A$3:$A$102,'TCO TO BE - HW'!I$2,'Rozpočet - HW a licencie'!$C$3:$C$102,"HW",'Rozpočet - HW a licencie'!$G$3:$G$102,'TCO TO BE - HW'!$D7,'Rozpočet - HW a licencie'!$D$3:$D$102,'TCO TO BE - HW'!$B$15)+SUMIFS('Rozpočet - HW a licencie'!$I$3:$I$102,'Rozpočet - HW a licencie'!$A$3:$A$102,'TCO TO BE - HW'!I$2,'Rozpočet - HW a licencie'!$C$3:$C$102,"SW pre HW",'Rozpočet - HW a licencie'!$G$3:$G$102,'TCO TO BE - HW'!$D7,'Rozpočet - HW a licencie'!$D$3:$D$102,'TCO TO BE - HW'!$B$15),)</f>
        <v>0</v>
      </c>
      <c r="J17" s="565">
        <f>IFERROR(SUMIFS('Rozpočet - HW a licencie'!$I$3:$I$102,'Rozpočet - HW a licencie'!$A$3:$A$102,'TCO TO BE - HW'!J$2,'Rozpočet - HW a licencie'!$C$3:$C$102,"HW",'Rozpočet - HW a licencie'!$G$3:$G$102,'TCO TO BE - HW'!$D7,'Rozpočet - HW a licencie'!$D$3:$D$102,'TCO TO BE - HW'!$B$15)+SUMIFS('Rozpočet - HW a licencie'!$I$3:$I$102,'Rozpočet - HW a licencie'!$A$3:$A$102,'TCO TO BE - HW'!J$2,'Rozpočet - HW a licencie'!$C$3:$C$102,"SW pre HW",'Rozpočet - HW a licencie'!$G$3:$G$102,'TCO TO BE - HW'!$D7,'Rozpočet - HW a licencie'!$D$3:$D$102,'TCO TO BE - HW'!$B$15),)</f>
        <v>0</v>
      </c>
      <c r="K17" s="565">
        <f>IFERROR(SUMIFS('Rozpočet - HW a licencie'!$I$3:$I$102,'Rozpočet - HW a licencie'!$A$3:$A$102,'TCO TO BE - HW'!K$2,'Rozpočet - HW a licencie'!$C$3:$C$102,"HW",'Rozpočet - HW a licencie'!$G$3:$G$102,'TCO TO BE - HW'!$D7,'Rozpočet - HW a licencie'!$D$3:$D$102,'TCO TO BE - HW'!$B$15)+SUMIFS('Rozpočet - HW a licencie'!$I$3:$I$102,'Rozpočet - HW a licencie'!$A$3:$A$102,'TCO TO BE - HW'!K$2,'Rozpočet - HW a licencie'!$C$3:$C$102,"SW pre HW",'Rozpočet - HW a licencie'!$G$3:$G$102,'TCO TO BE - HW'!$D7,'Rozpočet - HW a licencie'!$D$3:$D$102,'TCO TO BE - HW'!$B$15),)</f>
        <v>0</v>
      </c>
      <c r="L17" s="565">
        <f>IFERROR(SUMIFS('Rozpočet - HW a licencie'!$I$3:$I$102,'Rozpočet - HW a licencie'!$A$3:$A$102,'TCO TO BE - HW'!L$2,'Rozpočet - HW a licencie'!$C$3:$C$102,"HW",'Rozpočet - HW a licencie'!$G$3:$G$102,'TCO TO BE - HW'!$D7,'Rozpočet - HW a licencie'!$D$3:$D$102,'TCO TO BE - HW'!$B$15)+SUMIFS('Rozpočet - HW a licencie'!$I$3:$I$102,'Rozpočet - HW a licencie'!$A$3:$A$102,'TCO TO BE - HW'!L$2,'Rozpočet - HW a licencie'!$C$3:$C$102,"SW pre HW",'Rozpočet - HW a licencie'!$G$3:$G$102,'TCO TO BE - HW'!$D7,'Rozpočet - HW a licencie'!$D$3:$D$102,'TCO TO BE - HW'!$B$15),)</f>
        <v>0</v>
      </c>
      <c r="M17" s="565">
        <f>IFERROR(SUMIFS('Rozpočet - HW a licencie'!$I$3:$I$102,'Rozpočet - HW a licencie'!$A$3:$A$102,'TCO TO BE - HW'!M$2,'Rozpočet - HW a licencie'!$C$3:$C$102,"HW",'Rozpočet - HW a licencie'!$G$3:$G$102,'TCO TO BE - HW'!$D7,'Rozpočet - HW a licencie'!$D$3:$D$102,'TCO TO BE - HW'!$B$15)+SUMIFS('Rozpočet - HW a licencie'!$I$3:$I$102,'Rozpočet - HW a licencie'!$A$3:$A$102,'TCO TO BE - HW'!M$2,'Rozpočet - HW a licencie'!$C$3:$C$102,"SW pre HW",'Rozpočet - HW a licencie'!$G$3:$G$102,'TCO TO BE - HW'!$D7,'Rozpočet - HW a licencie'!$D$3:$D$102,'TCO TO BE - HW'!$B$15),)</f>
        <v>0</v>
      </c>
      <c r="N17" s="565">
        <f>IFERROR(SUMIFS('Rozpočet - HW a licencie'!$I$3:$I$102,'Rozpočet - HW a licencie'!$A$3:$A$102,'TCO TO BE - HW'!N$2,'Rozpočet - HW a licencie'!$C$3:$C$102,"HW",'Rozpočet - HW a licencie'!$G$3:$G$102,'TCO TO BE - HW'!$D7,'Rozpočet - HW a licencie'!$D$3:$D$102,'TCO TO BE - HW'!$B$15)+SUMIFS('Rozpočet - HW a licencie'!$I$3:$I$102,'Rozpočet - HW a licencie'!$A$3:$A$102,'TCO TO BE - HW'!N$2,'Rozpočet - HW a licencie'!$C$3:$C$102,"SW pre HW",'Rozpočet - HW a licencie'!$G$3:$G$102,'TCO TO BE - HW'!$D7,'Rozpočet - HW a licencie'!$D$3:$D$102,'TCO TO BE - HW'!$B$15),)</f>
        <v>0</v>
      </c>
      <c r="O17" s="565">
        <f>IFERROR(SUMIFS('Rozpočet - HW a licencie'!$I$3:$I$102,'Rozpočet - HW a licencie'!$A$3:$A$102,'TCO TO BE - HW'!O$2,'Rozpočet - HW a licencie'!$C$3:$C$102,"HW",'Rozpočet - HW a licencie'!$G$3:$G$102,'TCO TO BE - HW'!$D7,'Rozpočet - HW a licencie'!$D$3:$D$102,'TCO TO BE - HW'!$B$15)+SUMIFS('Rozpočet - HW a licencie'!$I$3:$I$102,'Rozpočet - HW a licencie'!$A$3:$A$102,'TCO TO BE - HW'!O$2,'Rozpočet - HW a licencie'!$C$3:$C$102,"SW pre HW",'Rozpočet - HW a licencie'!$G$3:$G$102,'TCO TO BE - HW'!$D7,'Rozpočet - HW a licencie'!$D$3:$D$102,'TCO TO BE - HW'!$B$15),)</f>
        <v>0</v>
      </c>
      <c r="P17" s="565">
        <f>IFERROR(SUMIFS('Rozpočet - HW a licencie'!$I$3:$I$102,'Rozpočet - HW a licencie'!$A$3:$A$102,'TCO TO BE - HW'!P$2,'Rozpočet - HW a licencie'!$C$3:$C$102,"HW",'Rozpočet - HW a licencie'!$G$3:$G$102,'TCO TO BE - HW'!$D7,'Rozpočet - HW a licencie'!$D$3:$D$102,'TCO TO BE - HW'!$B$15)+SUMIFS('Rozpočet - HW a licencie'!$I$3:$I$102,'Rozpočet - HW a licencie'!$A$3:$A$102,'TCO TO BE - HW'!P$2,'Rozpočet - HW a licencie'!$C$3:$C$102,"SW pre HW",'Rozpočet - HW a licencie'!$G$3:$G$102,'TCO TO BE - HW'!$D7,'Rozpočet - HW a licencie'!$D$3:$D$102,'TCO TO BE - HW'!$B$15),)</f>
        <v>0</v>
      </c>
      <c r="Q17" s="565">
        <f>IFERROR(SUMIFS('Rozpočet - HW a licencie'!$I$3:$I$102,'Rozpočet - HW a licencie'!$A$3:$A$102,'TCO TO BE - HW'!Q$2,'Rozpočet - HW a licencie'!$C$3:$C$102,"HW",'Rozpočet - HW a licencie'!$G$3:$G$102,'TCO TO BE - HW'!$D7,'Rozpočet - HW a licencie'!$D$3:$D$102,'TCO TO BE - HW'!$B$15)+SUMIFS('Rozpočet - HW a licencie'!$I$3:$I$102,'Rozpočet - HW a licencie'!$A$3:$A$102,'TCO TO BE - HW'!Q$2,'Rozpočet - HW a licencie'!$C$3:$C$102,"SW pre HW",'Rozpočet - HW a licencie'!$G$3:$G$102,'TCO TO BE - HW'!$D7,'Rozpočet - HW a licencie'!$D$3:$D$102,'TCO TO BE - HW'!$B$15),)</f>
        <v>0</v>
      </c>
      <c r="R17" s="565">
        <f>IFERROR(SUMIFS('Rozpočet - HW a licencie'!$I$3:$I$102,'Rozpočet - HW a licencie'!$A$3:$A$102,'TCO TO BE - HW'!R$2,'Rozpočet - HW a licencie'!$C$3:$C$102,"HW",'Rozpočet - HW a licencie'!$G$3:$G$102,'TCO TO BE - HW'!$D7,'Rozpočet - HW a licencie'!$D$3:$D$102,'TCO TO BE - HW'!$B$15)+SUMIFS('Rozpočet - HW a licencie'!$I$3:$I$102,'Rozpočet - HW a licencie'!$A$3:$A$102,'TCO TO BE - HW'!R$2,'Rozpočet - HW a licencie'!$C$3:$C$102,"SW pre HW",'Rozpočet - HW a licencie'!$G$3:$G$102,'TCO TO BE - HW'!$D7,'Rozpočet - HW a licencie'!$D$3:$D$102,'TCO TO BE - HW'!$B$15),)</f>
        <v>0</v>
      </c>
      <c r="S17" s="565">
        <f>IFERROR(SUMIFS('Rozpočet - HW a licencie'!$I$3:$I$102,'Rozpočet - HW a licencie'!$A$3:$A$102,'TCO TO BE - HW'!S$2,'Rozpočet - HW a licencie'!$C$3:$C$102,"HW",'Rozpočet - HW a licencie'!$G$3:$G$102,'TCO TO BE - HW'!$D7,'Rozpočet - HW a licencie'!$D$3:$D$102,'TCO TO BE - HW'!$B$15)+SUMIFS('Rozpočet - HW a licencie'!$I$3:$I$102,'Rozpočet - HW a licencie'!$A$3:$A$102,'TCO TO BE - HW'!S$2,'Rozpočet - HW a licencie'!$C$3:$C$102,"SW pre HW",'Rozpočet - HW a licencie'!$G$3:$G$102,'TCO TO BE - HW'!$D7,'Rozpočet - HW a licencie'!$D$3:$D$102,'TCO TO BE - HW'!$B$15),)</f>
        <v>0</v>
      </c>
      <c r="T17" s="565">
        <f>IFERROR(SUMIFS('Rozpočet - HW a licencie'!$I$3:$I$102,'Rozpočet - HW a licencie'!$A$3:$A$102,'TCO TO BE - HW'!T$2,'Rozpočet - HW a licencie'!$C$3:$C$102,"HW",'Rozpočet - HW a licencie'!$G$3:$G$102,'TCO TO BE - HW'!$D7,'Rozpočet - HW a licencie'!$D$3:$D$102,'TCO TO BE - HW'!$B$15)+SUMIFS('Rozpočet - HW a licencie'!$I$3:$I$102,'Rozpočet - HW a licencie'!$A$3:$A$102,'TCO TO BE - HW'!T$2,'Rozpočet - HW a licencie'!$C$3:$C$102,"SW pre HW",'Rozpočet - HW a licencie'!$G$3:$G$102,'TCO TO BE - HW'!$D7,'Rozpočet - HW a licencie'!$D$3:$D$102,'TCO TO BE - HW'!$B$15),)</f>
        <v>0</v>
      </c>
      <c r="U17" s="565">
        <f>IFERROR(SUMIFS('Rozpočet - HW a licencie'!$I$3:$I$102,'Rozpočet - HW a licencie'!$A$3:$A$102,'TCO TO BE - HW'!U$2,'Rozpočet - HW a licencie'!$C$3:$C$102,"HW",'Rozpočet - HW a licencie'!$G$3:$G$102,'TCO TO BE - HW'!$D7,'Rozpočet - HW a licencie'!$D$3:$D$102,'TCO TO BE - HW'!$B$15)+SUMIFS('Rozpočet - HW a licencie'!$I$3:$I$102,'Rozpočet - HW a licencie'!$A$3:$A$102,'TCO TO BE - HW'!U$2,'Rozpočet - HW a licencie'!$C$3:$C$102,"SW pre HW",'Rozpočet - HW a licencie'!$G$3:$G$102,'TCO TO BE - HW'!$D7,'Rozpočet - HW a licencie'!$D$3:$D$102,'TCO TO BE - HW'!$B$15),)</f>
        <v>0</v>
      </c>
      <c r="V17" s="565">
        <f>IFERROR(SUMIFS('Rozpočet - HW a licencie'!$I$3:$I$102,'Rozpočet - HW a licencie'!$A$3:$A$102,'TCO TO BE - HW'!V$2,'Rozpočet - HW a licencie'!$C$3:$C$102,"HW",'Rozpočet - HW a licencie'!$G$3:$G$102,'TCO TO BE - HW'!$D7,'Rozpočet - HW a licencie'!$D$3:$D$102,'TCO TO BE - HW'!$B$15)+SUMIFS('Rozpočet - HW a licencie'!$I$3:$I$102,'Rozpočet - HW a licencie'!$A$3:$A$102,'TCO TO BE - HW'!V$2,'Rozpočet - HW a licencie'!$C$3:$C$102,"SW pre HW",'Rozpočet - HW a licencie'!$G$3:$G$102,'TCO TO BE - HW'!$D7,'Rozpočet - HW a licencie'!$D$3:$D$102,'TCO TO BE - HW'!$B$15),)</f>
        <v>0</v>
      </c>
      <c r="W17" s="565">
        <f>IFERROR(SUMIFS('Rozpočet - HW a licencie'!$I$3:$I$102,'Rozpočet - HW a licencie'!$A$3:$A$102,'TCO TO BE - HW'!W$2,'Rozpočet - HW a licencie'!$C$3:$C$102,"HW",'Rozpočet - HW a licencie'!$G$3:$G$102,'TCO TO BE - HW'!$D7,'Rozpočet - HW a licencie'!$D$3:$D$102,'TCO TO BE - HW'!$B$15)+SUMIFS('Rozpočet - HW a licencie'!$I$3:$I$102,'Rozpočet - HW a licencie'!$A$3:$A$102,'TCO TO BE - HW'!W$2,'Rozpočet - HW a licencie'!$C$3:$C$102,"SW pre HW",'Rozpočet - HW a licencie'!$G$3:$G$102,'TCO TO BE - HW'!$D7,'Rozpočet - HW a licencie'!$D$3:$D$102,'TCO TO BE - HW'!$B$15),)</f>
        <v>0</v>
      </c>
      <c r="X17" s="565">
        <f>IFERROR(SUMIFS('Rozpočet - HW a licencie'!$I$3:$I$102,'Rozpočet - HW a licencie'!$A$3:$A$102,'TCO TO BE - HW'!X$2,'Rozpočet - HW a licencie'!$C$3:$C$102,"HW",'Rozpočet - HW a licencie'!$G$3:$G$102,'TCO TO BE - HW'!$D7,'Rozpočet - HW a licencie'!$D$3:$D$102,'TCO TO BE - HW'!$B$15)+SUMIFS('Rozpočet - HW a licencie'!$I$3:$I$102,'Rozpočet - HW a licencie'!$A$3:$A$102,'TCO TO BE - HW'!X$2,'Rozpočet - HW a licencie'!$C$3:$C$102,"SW pre HW",'Rozpočet - HW a licencie'!$G$3:$G$102,'TCO TO BE - HW'!$D7,'Rozpočet - HW a licencie'!$D$3:$D$102,'TCO TO BE - HW'!$B$15),)</f>
        <v>0</v>
      </c>
      <c r="Y17" s="565">
        <f>IFERROR(SUMIFS('Rozpočet - HW a licencie'!$I$3:$I$102,'Rozpočet - HW a licencie'!$A$3:$A$102,'TCO TO BE - HW'!Y$2,'Rozpočet - HW a licencie'!$C$3:$C$102,"HW",'Rozpočet - HW a licencie'!$G$3:$G$102,'TCO TO BE - HW'!$D7,'Rozpočet - HW a licencie'!$D$3:$D$102,'TCO TO BE - HW'!$B$15)+SUMIFS('Rozpočet - HW a licencie'!$I$3:$I$102,'Rozpočet - HW a licencie'!$A$3:$A$102,'TCO TO BE - HW'!Y$2,'Rozpočet - HW a licencie'!$C$3:$C$102,"SW pre HW",'Rozpočet - HW a licencie'!$G$3:$G$102,'TCO TO BE - HW'!$D7,'Rozpočet - HW a licencie'!$D$3:$D$102,'TCO TO BE - HW'!$B$15),)</f>
        <v>0</v>
      </c>
      <c r="Z17" s="565">
        <f>IFERROR(SUMIFS('Rozpočet - HW a licencie'!$I$3:$I$102,'Rozpočet - HW a licencie'!$A$3:$A$102,'TCO TO BE - HW'!Z$2,'Rozpočet - HW a licencie'!$C$3:$C$102,"HW",'Rozpočet - HW a licencie'!$G$3:$G$102,'TCO TO BE - HW'!$D7,'Rozpočet - HW a licencie'!$D$3:$D$102,'TCO TO BE - HW'!$B$15)+SUMIFS('Rozpočet - HW a licencie'!$I$3:$I$102,'Rozpočet - HW a licencie'!$A$3:$A$102,'TCO TO BE - HW'!Z$2,'Rozpočet - HW a licencie'!$C$3:$C$102,"SW pre HW",'Rozpočet - HW a licencie'!$G$3:$G$102,'TCO TO BE - HW'!$D7,'Rozpočet - HW a licencie'!$D$3:$D$102,'TCO TO BE - HW'!$B$15),)</f>
        <v>0</v>
      </c>
    </row>
    <row r="18" spans="1:26" outlineLevel="1">
      <c r="A18" s="807"/>
      <c r="B18" s="808"/>
      <c r="C18" s="808"/>
      <c r="D18" s="487">
        <v>4</v>
      </c>
      <c r="E18" s="68">
        <f t="shared" si="2"/>
        <v>0</v>
      </c>
      <c r="F18" s="565">
        <f>IFERROR(SUMIFS('Rozpočet - HW a licencie'!$I$3:$I$102,'Rozpočet - HW a licencie'!$A$3:$A$102,'TCO TO BE - HW'!F$2,'Rozpočet - HW a licencie'!$C$3:$C$102,"HW",'Rozpočet - HW a licencie'!$G$3:$G$102,'TCO TO BE - HW'!$D8,'Rozpočet - HW a licencie'!$D$3:$D$102,'TCO TO BE - HW'!$B$15)+SUMIFS('Rozpočet - HW a licencie'!$I$3:$I$102,'Rozpočet - HW a licencie'!$A$3:$A$102,'TCO TO BE - HW'!F$2,'Rozpočet - HW a licencie'!$C$3:$C$102,"SW pre HW",'Rozpočet - HW a licencie'!$G$3:$G$102,'TCO TO BE - HW'!$D8,'Rozpočet - HW a licencie'!$D$3:$D$102,'TCO TO BE - HW'!$B$15),)</f>
        <v>0</v>
      </c>
      <c r="G18" s="565">
        <f>IFERROR(SUMIFS('Rozpočet - HW a licencie'!$I$3:$I$102,'Rozpočet - HW a licencie'!$A$3:$A$102,'TCO TO BE - HW'!G$2,'Rozpočet - HW a licencie'!$C$3:$C$102,"HW",'Rozpočet - HW a licencie'!$G$3:$G$102,'TCO TO BE - HW'!$D8,'Rozpočet - HW a licencie'!$D$3:$D$102,'TCO TO BE - HW'!$B$15)+SUMIFS('Rozpočet - HW a licencie'!$I$3:$I$102,'Rozpočet - HW a licencie'!$A$3:$A$102,'TCO TO BE - HW'!G$2,'Rozpočet - HW a licencie'!$C$3:$C$102,"SW pre HW",'Rozpočet - HW a licencie'!$G$3:$G$102,'TCO TO BE - HW'!$D8,'Rozpočet - HW a licencie'!$D$3:$D$102,'TCO TO BE - HW'!$B$15),)</f>
        <v>0</v>
      </c>
      <c r="H18" s="565">
        <f>IFERROR(SUMIFS('Rozpočet - HW a licencie'!$I$3:$I$102,'Rozpočet - HW a licencie'!$A$3:$A$102,'TCO TO BE - HW'!H$2,'Rozpočet - HW a licencie'!$C$3:$C$102,"HW",'Rozpočet - HW a licencie'!$G$3:$G$102,'TCO TO BE - HW'!$D8,'Rozpočet - HW a licencie'!$D$3:$D$102,'TCO TO BE - HW'!$B$15)+SUMIFS('Rozpočet - HW a licencie'!$I$3:$I$102,'Rozpočet - HW a licencie'!$A$3:$A$102,'TCO TO BE - HW'!H$2,'Rozpočet - HW a licencie'!$C$3:$C$102,"SW pre HW",'Rozpočet - HW a licencie'!$G$3:$G$102,'TCO TO BE - HW'!$D8,'Rozpočet - HW a licencie'!$D$3:$D$102,'TCO TO BE - HW'!$B$15),)</f>
        <v>0</v>
      </c>
      <c r="I18" s="565">
        <f>IFERROR(SUMIFS('Rozpočet - HW a licencie'!$I$3:$I$102,'Rozpočet - HW a licencie'!$A$3:$A$102,'TCO TO BE - HW'!I$2,'Rozpočet - HW a licencie'!$C$3:$C$102,"HW",'Rozpočet - HW a licencie'!$G$3:$G$102,'TCO TO BE - HW'!$D8,'Rozpočet - HW a licencie'!$D$3:$D$102,'TCO TO BE - HW'!$B$15)+SUMIFS('Rozpočet - HW a licencie'!$I$3:$I$102,'Rozpočet - HW a licencie'!$A$3:$A$102,'TCO TO BE - HW'!I$2,'Rozpočet - HW a licencie'!$C$3:$C$102,"SW pre HW",'Rozpočet - HW a licencie'!$G$3:$G$102,'TCO TO BE - HW'!$D8,'Rozpočet - HW a licencie'!$D$3:$D$102,'TCO TO BE - HW'!$B$15),)</f>
        <v>0</v>
      </c>
      <c r="J18" s="565">
        <f>IFERROR(SUMIFS('Rozpočet - HW a licencie'!$I$3:$I$102,'Rozpočet - HW a licencie'!$A$3:$A$102,'TCO TO BE - HW'!J$2,'Rozpočet - HW a licencie'!$C$3:$C$102,"HW",'Rozpočet - HW a licencie'!$G$3:$G$102,'TCO TO BE - HW'!$D8,'Rozpočet - HW a licencie'!$D$3:$D$102,'TCO TO BE - HW'!$B$15)+SUMIFS('Rozpočet - HW a licencie'!$I$3:$I$102,'Rozpočet - HW a licencie'!$A$3:$A$102,'TCO TO BE - HW'!J$2,'Rozpočet - HW a licencie'!$C$3:$C$102,"SW pre HW",'Rozpočet - HW a licencie'!$G$3:$G$102,'TCO TO BE - HW'!$D8,'Rozpočet - HW a licencie'!$D$3:$D$102,'TCO TO BE - HW'!$B$15),)</f>
        <v>0</v>
      </c>
      <c r="K18" s="565">
        <f>IFERROR(SUMIFS('Rozpočet - HW a licencie'!$I$3:$I$102,'Rozpočet - HW a licencie'!$A$3:$A$102,'TCO TO BE - HW'!K$2,'Rozpočet - HW a licencie'!$C$3:$C$102,"HW",'Rozpočet - HW a licencie'!$G$3:$G$102,'TCO TO BE - HW'!$D8,'Rozpočet - HW a licencie'!$D$3:$D$102,'TCO TO BE - HW'!$B$15)+SUMIFS('Rozpočet - HW a licencie'!$I$3:$I$102,'Rozpočet - HW a licencie'!$A$3:$A$102,'TCO TO BE - HW'!K$2,'Rozpočet - HW a licencie'!$C$3:$C$102,"SW pre HW",'Rozpočet - HW a licencie'!$G$3:$G$102,'TCO TO BE - HW'!$D8,'Rozpočet - HW a licencie'!$D$3:$D$102,'TCO TO BE - HW'!$B$15),)</f>
        <v>0</v>
      </c>
      <c r="L18" s="565">
        <f>IFERROR(SUMIFS('Rozpočet - HW a licencie'!$I$3:$I$102,'Rozpočet - HW a licencie'!$A$3:$A$102,'TCO TO BE - HW'!L$2,'Rozpočet - HW a licencie'!$C$3:$C$102,"HW",'Rozpočet - HW a licencie'!$G$3:$G$102,'TCO TO BE - HW'!$D8,'Rozpočet - HW a licencie'!$D$3:$D$102,'TCO TO BE - HW'!$B$15)+SUMIFS('Rozpočet - HW a licencie'!$I$3:$I$102,'Rozpočet - HW a licencie'!$A$3:$A$102,'TCO TO BE - HW'!L$2,'Rozpočet - HW a licencie'!$C$3:$C$102,"SW pre HW",'Rozpočet - HW a licencie'!$G$3:$G$102,'TCO TO BE - HW'!$D8,'Rozpočet - HW a licencie'!$D$3:$D$102,'TCO TO BE - HW'!$B$15),)</f>
        <v>0</v>
      </c>
      <c r="M18" s="565">
        <f>IFERROR(SUMIFS('Rozpočet - HW a licencie'!$I$3:$I$102,'Rozpočet - HW a licencie'!$A$3:$A$102,'TCO TO BE - HW'!M$2,'Rozpočet - HW a licencie'!$C$3:$C$102,"HW",'Rozpočet - HW a licencie'!$G$3:$G$102,'TCO TO BE - HW'!$D8,'Rozpočet - HW a licencie'!$D$3:$D$102,'TCO TO BE - HW'!$B$15)+SUMIFS('Rozpočet - HW a licencie'!$I$3:$I$102,'Rozpočet - HW a licencie'!$A$3:$A$102,'TCO TO BE - HW'!M$2,'Rozpočet - HW a licencie'!$C$3:$C$102,"SW pre HW",'Rozpočet - HW a licencie'!$G$3:$G$102,'TCO TO BE - HW'!$D8,'Rozpočet - HW a licencie'!$D$3:$D$102,'TCO TO BE - HW'!$B$15),)</f>
        <v>0</v>
      </c>
      <c r="N18" s="565">
        <f>IFERROR(SUMIFS('Rozpočet - HW a licencie'!$I$3:$I$102,'Rozpočet - HW a licencie'!$A$3:$A$102,'TCO TO BE - HW'!N$2,'Rozpočet - HW a licencie'!$C$3:$C$102,"HW",'Rozpočet - HW a licencie'!$G$3:$G$102,'TCO TO BE - HW'!$D8,'Rozpočet - HW a licencie'!$D$3:$D$102,'TCO TO BE - HW'!$B$15)+SUMIFS('Rozpočet - HW a licencie'!$I$3:$I$102,'Rozpočet - HW a licencie'!$A$3:$A$102,'TCO TO BE - HW'!N$2,'Rozpočet - HW a licencie'!$C$3:$C$102,"SW pre HW",'Rozpočet - HW a licencie'!$G$3:$G$102,'TCO TO BE - HW'!$D8,'Rozpočet - HW a licencie'!$D$3:$D$102,'TCO TO BE - HW'!$B$15),)</f>
        <v>0</v>
      </c>
      <c r="O18" s="565">
        <f>IFERROR(SUMIFS('Rozpočet - HW a licencie'!$I$3:$I$102,'Rozpočet - HW a licencie'!$A$3:$A$102,'TCO TO BE - HW'!O$2,'Rozpočet - HW a licencie'!$C$3:$C$102,"HW",'Rozpočet - HW a licencie'!$G$3:$G$102,'TCO TO BE - HW'!$D8,'Rozpočet - HW a licencie'!$D$3:$D$102,'TCO TO BE - HW'!$B$15)+SUMIFS('Rozpočet - HW a licencie'!$I$3:$I$102,'Rozpočet - HW a licencie'!$A$3:$A$102,'TCO TO BE - HW'!O$2,'Rozpočet - HW a licencie'!$C$3:$C$102,"SW pre HW",'Rozpočet - HW a licencie'!$G$3:$G$102,'TCO TO BE - HW'!$D8,'Rozpočet - HW a licencie'!$D$3:$D$102,'TCO TO BE - HW'!$B$15),)</f>
        <v>0</v>
      </c>
      <c r="P18" s="565">
        <f>IFERROR(SUMIFS('Rozpočet - HW a licencie'!$I$3:$I$102,'Rozpočet - HW a licencie'!$A$3:$A$102,'TCO TO BE - HW'!P$2,'Rozpočet - HW a licencie'!$C$3:$C$102,"HW",'Rozpočet - HW a licencie'!$G$3:$G$102,'TCO TO BE - HW'!$D8,'Rozpočet - HW a licencie'!$D$3:$D$102,'TCO TO BE - HW'!$B$15)+SUMIFS('Rozpočet - HW a licencie'!$I$3:$I$102,'Rozpočet - HW a licencie'!$A$3:$A$102,'TCO TO BE - HW'!P$2,'Rozpočet - HW a licencie'!$C$3:$C$102,"SW pre HW",'Rozpočet - HW a licencie'!$G$3:$G$102,'TCO TO BE - HW'!$D8,'Rozpočet - HW a licencie'!$D$3:$D$102,'TCO TO BE - HW'!$B$15),)</f>
        <v>0</v>
      </c>
      <c r="Q18" s="565">
        <f>IFERROR(SUMIFS('Rozpočet - HW a licencie'!$I$3:$I$102,'Rozpočet - HW a licencie'!$A$3:$A$102,'TCO TO BE - HW'!Q$2,'Rozpočet - HW a licencie'!$C$3:$C$102,"HW",'Rozpočet - HW a licencie'!$G$3:$G$102,'TCO TO BE - HW'!$D8,'Rozpočet - HW a licencie'!$D$3:$D$102,'TCO TO BE - HW'!$B$15)+SUMIFS('Rozpočet - HW a licencie'!$I$3:$I$102,'Rozpočet - HW a licencie'!$A$3:$A$102,'TCO TO BE - HW'!Q$2,'Rozpočet - HW a licencie'!$C$3:$C$102,"SW pre HW",'Rozpočet - HW a licencie'!$G$3:$G$102,'TCO TO BE - HW'!$D8,'Rozpočet - HW a licencie'!$D$3:$D$102,'TCO TO BE - HW'!$B$15),)</f>
        <v>0</v>
      </c>
      <c r="R18" s="565">
        <f>IFERROR(SUMIFS('Rozpočet - HW a licencie'!$I$3:$I$102,'Rozpočet - HW a licencie'!$A$3:$A$102,'TCO TO BE - HW'!R$2,'Rozpočet - HW a licencie'!$C$3:$C$102,"HW",'Rozpočet - HW a licencie'!$G$3:$G$102,'TCO TO BE - HW'!$D8,'Rozpočet - HW a licencie'!$D$3:$D$102,'TCO TO BE - HW'!$B$15)+SUMIFS('Rozpočet - HW a licencie'!$I$3:$I$102,'Rozpočet - HW a licencie'!$A$3:$A$102,'TCO TO BE - HW'!R$2,'Rozpočet - HW a licencie'!$C$3:$C$102,"SW pre HW",'Rozpočet - HW a licencie'!$G$3:$G$102,'TCO TO BE - HW'!$D8,'Rozpočet - HW a licencie'!$D$3:$D$102,'TCO TO BE - HW'!$B$15),)</f>
        <v>0</v>
      </c>
      <c r="S18" s="565">
        <f>IFERROR(SUMIFS('Rozpočet - HW a licencie'!$I$3:$I$102,'Rozpočet - HW a licencie'!$A$3:$A$102,'TCO TO BE - HW'!S$2,'Rozpočet - HW a licencie'!$C$3:$C$102,"HW",'Rozpočet - HW a licencie'!$G$3:$G$102,'TCO TO BE - HW'!$D8,'Rozpočet - HW a licencie'!$D$3:$D$102,'TCO TO BE - HW'!$B$15)+SUMIFS('Rozpočet - HW a licencie'!$I$3:$I$102,'Rozpočet - HW a licencie'!$A$3:$A$102,'TCO TO BE - HW'!S$2,'Rozpočet - HW a licencie'!$C$3:$C$102,"SW pre HW",'Rozpočet - HW a licencie'!$G$3:$G$102,'TCO TO BE - HW'!$D8,'Rozpočet - HW a licencie'!$D$3:$D$102,'TCO TO BE - HW'!$B$15),)</f>
        <v>0</v>
      </c>
      <c r="T18" s="565">
        <f>IFERROR(SUMIFS('Rozpočet - HW a licencie'!$I$3:$I$102,'Rozpočet - HW a licencie'!$A$3:$A$102,'TCO TO BE - HW'!T$2,'Rozpočet - HW a licencie'!$C$3:$C$102,"HW",'Rozpočet - HW a licencie'!$G$3:$G$102,'TCO TO BE - HW'!$D8,'Rozpočet - HW a licencie'!$D$3:$D$102,'TCO TO BE - HW'!$B$15)+SUMIFS('Rozpočet - HW a licencie'!$I$3:$I$102,'Rozpočet - HW a licencie'!$A$3:$A$102,'TCO TO BE - HW'!T$2,'Rozpočet - HW a licencie'!$C$3:$C$102,"SW pre HW",'Rozpočet - HW a licencie'!$G$3:$G$102,'TCO TO BE - HW'!$D8,'Rozpočet - HW a licencie'!$D$3:$D$102,'TCO TO BE - HW'!$B$15),)</f>
        <v>0</v>
      </c>
      <c r="U18" s="565">
        <f>IFERROR(SUMIFS('Rozpočet - HW a licencie'!$I$3:$I$102,'Rozpočet - HW a licencie'!$A$3:$A$102,'TCO TO BE - HW'!U$2,'Rozpočet - HW a licencie'!$C$3:$C$102,"HW",'Rozpočet - HW a licencie'!$G$3:$G$102,'TCO TO BE - HW'!$D8,'Rozpočet - HW a licencie'!$D$3:$D$102,'TCO TO BE - HW'!$B$15)+SUMIFS('Rozpočet - HW a licencie'!$I$3:$I$102,'Rozpočet - HW a licencie'!$A$3:$A$102,'TCO TO BE - HW'!U$2,'Rozpočet - HW a licencie'!$C$3:$C$102,"SW pre HW",'Rozpočet - HW a licencie'!$G$3:$G$102,'TCO TO BE - HW'!$D8,'Rozpočet - HW a licencie'!$D$3:$D$102,'TCO TO BE - HW'!$B$15),)</f>
        <v>0</v>
      </c>
      <c r="V18" s="565">
        <f>IFERROR(SUMIFS('Rozpočet - HW a licencie'!$I$3:$I$102,'Rozpočet - HW a licencie'!$A$3:$A$102,'TCO TO BE - HW'!V$2,'Rozpočet - HW a licencie'!$C$3:$C$102,"HW",'Rozpočet - HW a licencie'!$G$3:$G$102,'TCO TO BE - HW'!$D8,'Rozpočet - HW a licencie'!$D$3:$D$102,'TCO TO BE - HW'!$B$15)+SUMIFS('Rozpočet - HW a licencie'!$I$3:$I$102,'Rozpočet - HW a licencie'!$A$3:$A$102,'TCO TO BE - HW'!V$2,'Rozpočet - HW a licencie'!$C$3:$C$102,"SW pre HW",'Rozpočet - HW a licencie'!$G$3:$G$102,'TCO TO BE - HW'!$D8,'Rozpočet - HW a licencie'!$D$3:$D$102,'TCO TO BE - HW'!$B$15),)</f>
        <v>0</v>
      </c>
      <c r="W18" s="565">
        <f>IFERROR(SUMIFS('Rozpočet - HW a licencie'!$I$3:$I$102,'Rozpočet - HW a licencie'!$A$3:$A$102,'TCO TO BE - HW'!W$2,'Rozpočet - HW a licencie'!$C$3:$C$102,"HW",'Rozpočet - HW a licencie'!$G$3:$G$102,'TCO TO BE - HW'!$D8,'Rozpočet - HW a licencie'!$D$3:$D$102,'TCO TO BE - HW'!$B$15)+SUMIFS('Rozpočet - HW a licencie'!$I$3:$I$102,'Rozpočet - HW a licencie'!$A$3:$A$102,'TCO TO BE - HW'!W$2,'Rozpočet - HW a licencie'!$C$3:$C$102,"SW pre HW",'Rozpočet - HW a licencie'!$G$3:$G$102,'TCO TO BE - HW'!$D8,'Rozpočet - HW a licencie'!$D$3:$D$102,'TCO TO BE - HW'!$B$15),)</f>
        <v>0</v>
      </c>
      <c r="X18" s="565">
        <f>IFERROR(SUMIFS('Rozpočet - HW a licencie'!$I$3:$I$102,'Rozpočet - HW a licencie'!$A$3:$A$102,'TCO TO BE - HW'!X$2,'Rozpočet - HW a licencie'!$C$3:$C$102,"HW",'Rozpočet - HW a licencie'!$G$3:$G$102,'TCO TO BE - HW'!$D8,'Rozpočet - HW a licencie'!$D$3:$D$102,'TCO TO BE - HW'!$B$15)+SUMIFS('Rozpočet - HW a licencie'!$I$3:$I$102,'Rozpočet - HW a licencie'!$A$3:$A$102,'TCO TO BE - HW'!X$2,'Rozpočet - HW a licencie'!$C$3:$C$102,"SW pre HW",'Rozpočet - HW a licencie'!$G$3:$G$102,'TCO TO BE - HW'!$D8,'Rozpočet - HW a licencie'!$D$3:$D$102,'TCO TO BE - HW'!$B$15),)</f>
        <v>0</v>
      </c>
      <c r="Y18" s="565">
        <f>IFERROR(SUMIFS('Rozpočet - HW a licencie'!$I$3:$I$102,'Rozpočet - HW a licencie'!$A$3:$A$102,'TCO TO BE - HW'!Y$2,'Rozpočet - HW a licencie'!$C$3:$C$102,"HW",'Rozpočet - HW a licencie'!$G$3:$G$102,'TCO TO BE - HW'!$D8,'Rozpočet - HW a licencie'!$D$3:$D$102,'TCO TO BE - HW'!$B$15)+SUMIFS('Rozpočet - HW a licencie'!$I$3:$I$102,'Rozpočet - HW a licencie'!$A$3:$A$102,'TCO TO BE - HW'!Y$2,'Rozpočet - HW a licencie'!$C$3:$C$102,"SW pre HW",'Rozpočet - HW a licencie'!$G$3:$G$102,'TCO TO BE - HW'!$D8,'Rozpočet - HW a licencie'!$D$3:$D$102,'TCO TO BE - HW'!$B$15),)</f>
        <v>0</v>
      </c>
      <c r="Z18" s="565">
        <f>IFERROR(SUMIFS('Rozpočet - HW a licencie'!$I$3:$I$102,'Rozpočet - HW a licencie'!$A$3:$A$102,'TCO TO BE - HW'!Z$2,'Rozpočet - HW a licencie'!$C$3:$C$102,"HW",'Rozpočet - HW a licencie'!$G$3:$G$102,'TCO TO BE - HW'!$D8,'Rozpočet - HW a licencie'!$D$3:$D$102,'TCO TO BE - HW'!$B$15)+SUMIFS('Rozpočet - HW a licencie'!$I$3:$I$102,'Rozpočet - HW a licencie'!$A$3:$A$102,'TCO TO BE - HW'!Z$2,'Rozpočet - HW a licencie'!$C$3:$C$102,"SW pre HW",'Rozpočet - HW a licencie'!$G$3:$G$102,'TCO TO BE - HW'!$D8,'Rozpočet - HW a licencie'!$D$3:$D$102,'TCO TO BE - HW'!$B$15),)</f>
        <v>0</v>
      </c>
    </row>
    <row r="19" spans="1:26" outlineLevel="1">
      <c r="A19" s="807"/>
      <c r="B19" s="808"/>
      <c r="C19" s="808"/>
      <c r="D19" s="487">
        <v>5</v>
      </c>
      <c r="E19" s="68">
        <f t="shared" si="2"/>
        <v>0</v>
      </c>
      <c r="F19" s="565">
        <f>IFERROR(SUMIFS('Rozpočet - HW a licencie'!$I$3:$I$102,'Rozpočet - HW a licencie'!$A$3:$A$102,'TCO TO BE - HW'!F$2,'Rozpočet - HW a licencie'!$C$3:$C$102,"HW",'Rozpočet - HW a licencie'!$G$3:$G$102,'TCO TO BE - HW'!$D9,'Rozpočet - HW a licencie'!$D$3:$D$102,'TCO TO BE - HW'!$B$15)+SUMIFS('Rozpočet - HW a licencie'!$I$3:$I$102,'Rozpočet - HW a licencie'!$A$3:$A$102,'TCO TO BE - HW'!F$2,'Rozpočet - HW a licencie'!$C$3:$C$102,"SW pre HW",'Rozpočet - HW a licencie'!$G$3:$G$102,'TCO TO BE - HW'!$D9,'Rozpočet - HW a licencie'!$D$3:$D$102,'TCO TO BE - HW'!$B$15),)</f>
        <v>0</v>
      </c>
      <c r="G19" s="565">
        <f>IFERROR(SUMIFS('Rozpočet - HW a licencie'!$I$3:$I$102,'Rozpočet - HW a licencie'!$A$3:$A$102,'TCO TO BE - HW'!G$2,'Rozpočet - HW a licencie'!$C$3:$C$102,"HW",'Rozpočet - HW a licencie'!$G$3:$G$102,'TCO TO BE - HW'!$D9,'Rozpočet - HW a licencie'!$D$3:$D$102,'TCO TO BE - HW'!$B$15)+SUMIFS('Rozpočet - HW a licencie'!$I$3:$I$102,'Rozpočet - HW a licencie'!$A$3:$A$102,'TCO TO BE - HW'!G$2,'Rozpočet - HW a licencie'!$C$3:$C$102,"SW pre HW",'Rozpočet - HW a licencie'!$G$3:$G$102,'TCO TO BE - HW'!$D9,'Rozpočet - HW a licencie'!$D$3:$D$102,'TCO TO BE - HW'!$B$15),)</f>
        <v>0</v>
      </c>
      <c r="H19" s="565">
        <f>IFERROR(SUMIFS('Rozpočet - HW a licencie'!$I$3:$I$102,'Rozpočet - HW a licencie'!$A$3:$A$102,'TCO TO BE - HW'!H$2,'Rozpočet - HW a licencie'!$C$3:$C$102,"HW",'Rozpočet - HW a licencie'!$G$3:$G$102,'TCO TO BE - HW'!$D9,'Rozpočet - HW a licencie'!$D$3:$D$102,'TCO TO BE - HW'!$B$15)+SUMIFS('Rozpočet - HW a licencie'!$I$3:$I$102,'Rozpočet - HW a licencie'!$A$3:$A$102,'TCO TO BE - HW'!H$2,'Rozpočet - HW a licencie'!$C$3:$C$102,"SW pre HW",'Rozpočet - HW a licencie'!$G$3:$G$102,'TCO TO BE - HW'!$D9,'Rozpočet - HW a licencie'!$D$3:$D$102,'TCO TO BE - HW'!$B$15),)</f>
        <v>0</v>
      </c>
      <c r="I19" s="565">
        <f>IFERROR(SUMIFS('Rozpočet - HW a licencie'!$I$3:$I$102,'Rozpočet - HW a licencie'!$A$3:$A$102,'TCO TO BE - HW'!I$2,'Rozpočet - HW a licencie'!$C$3:$C$102,"HW",'Rozpočet - HW a licencie'!$G$3:$G$102,'TCO TO BE - HW'!$D9,'Rozpočet - HW a licencie'!$D$3:$D$102,'TCO TO BE - HW'!$B$15)+SUMIFS('Rozpočet - HW a licencie'!$I$3:$I$102,'Rozpočet - HW a licencie'!$A$3:$A$102,'TCO TO BE - HW'!I$2,'Rozpočet - HW a licencie'!$C$3:$C$102,"SW pre HW",'Rozpočet - HW a licencie'!$G$3:$G$102,'TCO TO BE - HW'!$D9,'Rozpočet - HW a licencie'!$D$3:$D$102,'TCO TO BE - HW'!$B$15),)</f>
        <v>0</v>
      </c>
      <c r="J19" s="565">
        <f>IFERROR(SUMIFS('Rozpočet - HW a licencie'!$I$3:$I$102,'Rozpočet - HW a licencie'!$A$3:$A$102,'TCO TO BE - HW'!J$2,'Rozpočet - HW a licencie'!$C$3:$C$102,"HW",'Rozpočet - HW a licencie'!$G$3:$G$102,'TCO TO BE - HW'!$D9,'Rozpočet - HW a licencie'!$D$3:$D$102,'TCO TO BE - HW'!$B$15)+SUMIFS('Rozpočet - HW a licencie'!$I$3:$I$102,'Rozpočet - HW a licencie'!$A$3:$A$102,'TCO TO BE - HW'!J$2,'Rozpočet - HW a licencie'!$C$3:$C$102,"SW pre HW",'Rozpočet - HW a licencie'!$G$3:$G$102,'TCO TO BE - HW'!$D9,'Rozpočet - HW a licencie'!$D$3:$D$102,'TCO TO BE - HW'!$B$15),)</f>
        <v>0</v>
      </c>
      <c r="K19" s="565">
        <f>IFERROR(SUMIFS('Rozpočet - HW a licencie'!$I$3:$I$102,'Rozpočet - HW a licencie'!$A$3:$A$102,'TCO TO BE - HW'!K$2,'Rozpočet - HW a licencie'!$C$3:$C$102,"HW",'Rozpočet - HW a licencie'!$G$3:$G$102,'TCO TO BE - HW'!$D9,'Rozpočet - HW a licencie'!$D$3:$D$102,'TCO TO BE - HW'!$B$15)+SUMIFS('Rozpočet - HW a licencie'!$I$3:$I$102,'Rozpočet - HW a licencie'!$A$3:$A$102,'TCO TO BE - HW'!K$2,'Rozpočet - HW a licencie'!$C$3:$C$102,"SW pre HW",'Rozpočet - HW a licencie'!$G$3:$G$102,'TCO TO BE - HW'!$D9,'Rozpočet - HW a licencie'!$D$3:$D$102,'TCO TO BE - HW'!$B$15),)</f>
        <v>0</v>
      </c>
      <c r="L19" s="565">
        <f>IFERROR(SUMIFS('Rozpočet - HW a licencie'!$I$3:$I$102,'Rozpočet - HW a licencie'!$A$3:$A$102,'TCO TO BE - HW'!L$2,'Rozpočet - HW a licencie'!$C$3:$C$102,"HW",'Rozpočet - HW a licencie'!$G$3:$G$102,'TCO TO BE - HW'!$D9,'Rozpočet - HW a licencie'!$D$3:$D$102,'TCO TO BE - HW'!$B$15)+SUMIFS('Rozpočet - HW a licencie'!$I$3:$I$102,'Rozpočet - HW a licencie'!$A$3:$A$102,'TCO TO BE - HW'!L$2,'Rozpočet - HW a licencie'!$C$3:$C$102,"SW pre HW",'Rozpočet - HW a licencie'!$G$3:$G$102,'TCO TO BE - HW'!$D9,'Rozpočet - HW a licencie'!$D$3:$D$102,'TCO TO BE - HW'!$B$15),)</f>
        <v>0</v>
      </c>
      <c r="M19" s="565">
        <f>IFERROR(SUMIFS('Rozpočet - HW a licencie'!$I$3:$I$102,'Rozpočet - HW a licencie'!$A$3:$A$102,'TCO TO BE - HW'!M$2,'Rozpočet - HW a licencie'!$C$3:$C$102,"HW",'Rozpočet - HW a licencie'!$G$3:$G$102,'TCO TO BE - HW'!$D9,'Rozpočet - HW a licencie'!$D$3:$D$102,'TCO TO BE - HW'!$B$15)+SUMIFS('Rozpočet - HW a licencie'!$I$3:$I$102,'Rozpočet - HW a licencie'!$A$3:$A$102,'TCO TO BE - HW'!M$2,'Rozpočet - HW a licencie'!$C$3:$C$102,"SW pre HW",'Rozpočet - HW a licencie'!$G$3:$G$102,'TCO TO BE - HW'!$D9,'Rozpočet - HW a licencie'!$D$3:$D$102,'TCO TO BE - HW'!$B$15),)</f>
        <v>0</v>
      </c>
      <c r="N19" s="565">
        <f>IFERROR(SUMIFS('Rozpočet - HW a licencie'!$I$3:$I$102,'Rozpočet - HW a licencie'!$A$3:$A$102,'TCO TO BE - HW'!N$2,'Rozpočet - HW a licencie'!$C$3:$C$102,"HW",'Rozpočet - HW a licencie'!$G$3:$G$102,'TCO TO BE - HW'!$D9,'Rozpočet - HW a licencie'!$D$3:$D$102,'TCO TO BE - HW'!$B$15)+SUMIFS('Rozpočet - HW a licencie'!$I$3:$I$102,'Rozpočet - HW a licencie'!$A$3:$A$102,'TCO TO BE - HW'!N$2,'Rozpočet - HW a licencie'!$C$3:$C$102,"SW pre HW",'Rozpočet - HW a licencie'!$G$3:$G$102,'TCO TO BE - HW'!$D9,'Rozpočet - HW a licencie'!$D$3:$D$102,'TCO TO BE - HW'!$B$15),)</f>
        <v>0</v>
      </c>
      <c r="O19" s="565">
        <f>IFERROR(SUMIFS('Rozpočet - HW a licencie'!$I$3:$I$102,'Rozpočet - HW a licencie'!$A$3:$A$102,'TCO TO BE - HW'!O$2,'Rozpočet - HW a licencie'!$C$3:$C$102,"HW",'Rozpočet - HW a licencie'!$G$3:$G$102,'TCO TO BE - HW'!$D9,'Rozpočet - HW a licencie'!$D$3:$D$102,'TCO TO BE - HW'!$B$15)+SUMIFS('Rozpočet - HW a licencie'!$I$3:$I$102,'Rozpočet - HW a licencie'!$A$3:$A$102,'TCO TO BE - HW'!O$2,'Rozpočet - HW a licencie'!$C$3:$C$102,"SW pre HW",'Rozpočet - HW a licencie'!$G$3:$G$102,'TCO TO BE - HW'!$D9,'Rozpočet - HW a licencie'!$D$3:$D$102,'TCO TO BE - HW'!$B$15),)</f>
        <v>0</v>
      </c>
      <c r="P19" s="565">
        <f>IFERROR(SUMIFS('Rozpočet - HW a licencie'!$I$3:$I$102,'Rozpočet - HW a licencie'!$A$3:$A$102,'TCO TO BE - HW'!P$2,'Rozpočet - HW a licencie'!$C$3:$C$102,"HW",'Rozpočet - HW a licencie'!$G$3:$G$102,'TCO TO BE - HW'!$D9,'Rozpočet - HW a licencie'!$D$3:$D$102,'TCO TO BE - HW'!$B$15)+SUMIFS('Rozpočet - HW a licencie'!$I$3:$I$102,'Rozpočet - HW a licencie'!$A$3:$A$102,'TCO TO BE - HW'!P$2,'Rozpočet - HW a licencie'!$C$3:$C$102,"SW pre HW",'Rozpočet - HW a licencie'!$G$3:$G$102,'TCO TO BE - HW'!$D9,'Rozpočet - HW a licencie'!$D$3:$D$102,'TCO TO BE - HW'!$B$15),)</f>
        <v>0</v>
      </c>
      <c r="Q19" s="565">
        <f>IFERROR(SUMIFS('Rozpočet - HW a licencie'!$I$3:$I$102,'Rozpočet - HW a licencie'!$A$3:$A$102,'TCO TO BE - HW'!Q$2,'Rozpočet - HW a licencie'!$C$3:$C$102,"HW",'Rozpočet - HW a licencie'!$G$3:$G$102,'TCO TO BE - HW'!$D9,'Rozpočet - HW a licencie'!$D$3:$D$102,'TCO TO BE - HW'!$B$15)+SUMIFS('Rozpočet - HW a licencie'!$I$3:$I$102,'Rozpočet - HW a licencie'!$A$3:$A$102,'TCO TO BE - HW'!Q$2,'Rozpočet - HW a licencie'!$C$3:$C$102,"SW pre HW",'Rozpočet - HW a licencie'!$G$3:$G$102,'TCO TO BE - HW'!$D9,'Rozpočet - HW a licencie'!$D$3:$D$102,'TCO TO BE - HW'!$B$15),)</f>
        <v>0</v>
      </c>
      <c r="R19" s="565">
        <f>IFERROR(SUMIFS('Rozpočet - HW a licencie'!$I$3:$I$102,'Rozpočet - HW a licencie'!$A$3:$A$102,'TCO TO BE - HW'!R$2,'Rozpočet - HW a licencie'!$C$3:$C$102,"HW",'Rozpočet - HW a licencie'!$G$3:$G$102,'TCO TO BE - HW'!$D9,'Rozpočet - HW a licencie'!$D$3:$D$102,'TCO TO BE - HW'!$B$15)+SUMIFS('Rozpočet - HW a licencie'!$I$3:$I$102,'Rozpočet - HW a licencie'!$A$3:$A$102,'TCO TO BE - HW'!R$2,'Rozpočet - HW a licencie'!$C$3:$C$102,"SW pre HW",'Rozpočet - HW a licencie'!$G$3:$G$102,'TCO TO BE - HW'!$D9,'Rozpočet - HW a licencie'!$D$3:$D$102,'TCO TO BE - HW'!$B$15),)</f>
        <v>0</v>
      </c>
      <c r="S19" s="565">
        <f>IFERROR(SUMIFS('Rozpočet - HW a licencie'!$I$3:$I$102,'Rozpočet - HW a licencie'!$A$3:$A$102,'TCO TO BE - HW'!S$2,'Rozpočet - HW a licencie'!$C$3:$C$102,"HW",'Rozpočet - HW a licencie'!$G$3:$G$102,'TCO TO BE - HW'!$D9,'Rozpočet - HW a licencie'!$D$3:$D$102,'TCO TO BE - HW'!$B$15)+SUMIFS('Rozpočet - HW a licencie'!$I$3:$I$102,'Rozpočet - HW a licencie'!$A$3:$A$102,'TCO TO BE - HW'!S$2,'Rozpočet - HW a licencie'!$C$3:$C$102,"SW pre HW",'Rozpočet - HW a licencie'!$G$3:$G$102,'TCO TO BE - HW'!$D9,'Rozpočet - HW a licencie'!$D$3:$D$102,'TCO TO BE - HW'!$B$15),)</f>
        <v>0</v>
      </c>
      <c r="T19" s="565">
        <f>IFERROR(SUMIFS('Rozpočet - HW a licencie'!$I$3:$I$102,'Rozpočet - HW a licencie'!$A$3:$A$102,'TCO TO BE - HW'!T$2,'Rozpočet - HW a licencie'!$C$3:$C$102,"HW",'Rozpočet - HW a licencie'!$G$3:$G$102,'TCO TO BE - HW'!$D9,'Rozpočet - HW a licencie'!$D$3:$D$102,'TCO TO BE - HW'!$B$15)+SUMIFS('Rozpočet - HW a licencie'!$I$3:$I$102,'Rozpočet - HW a licencie'!$A$3:$A$102,'TCO TO BE - HW'!T$2,'Rozpočet - HW a licencie'!$C$3:$C$102,"SW pre HW",'Rozpočet - HW a licencie'!$G$3:$G$102,'TCO TO BE - HW'!$D9,'Rozpočet - HW a licencie'!$D$3:$D$102,'TCO TO BE - HW'!$B$15),)</f>
        <v>0</v>
      </c>
      <c r="U19" s="565">
        <f>IFERROR(SUMIFS('Rozpočet - HW a licencie'!$I$3:$I$102,'Rozpočet - HW a licencie'!$A$3:$A$102,'TCO TO BE - HW'!U$2,'Rozpočet - HW a licencie'!$C$3:$C$102,"HW",'Rozpočet - HW a licencie'!$G$3:$G$102,'TCO TO BE - HW'!$D9,'Rozpočet - HW a licencie'!$D$3:$D$102,'TCO TO BE - HW'!$B$15)+SUMIFS('Rozpočet - HW a licencie'!$I$3:$I$102,'Rozpočet - HW a licencie'!$A$3:$A$102,'TCO TO BE - HW'!U$2,'Rozpočet - HW a licencie'!$C$3:$C$102,"SW pre HW",'Rozpočet - HW a licencie'!$G$3:$G$102,'TCO TO BE - HW'!$D9,'Rozpočet - HW a licencie'!$D$3:$D$102,'TCO TO BE - HW'!$B$15),)</f>
        <v>0</v>
      </c>
      <c r="V19" s="565">
        <f>IFERROR(SUMIFS('Rozpočet - HW a licencie'!$I$3:$I$102,'Rozpočet - HW a licencie'!$A$3:$A$102,'TCO TO BE - HW'!V$2,'Rozpočet - HW a licencie'!$C$3:$C$102,"HW",'Rozpočet - HW a licencie'!$G$3:$G$102,'TCO TO BE - HW'!$D9,'Rozpočet - HW a licencie'!$D$3:$D$102,'TCO TO BE - HW'!$B$15)+SUMIFS('Rozpočet - HW a licencie'!$I$3:$I$102,'Rozpočet - HW a licencie'!$A$3:$A$102,'TCO TO BE - HW'!V$2,'Rozpočet - HW a licencie'!$C$3:$C$102,"SW pre HW",'Rozpočet - HW a licencie'!$G$3:$G$102,'TCO TO BE - HW'!$D9,'Rozpočet - HW a licencie'!$D$3:$D$102,'TCO TO BE - HW'!$B$15),)</f>
        <v>0</v>
      </c>
      <c r="W19" s="565">
        <f>IFERROR(SUMIFS('Rozpočet - HW a licencie'!$I$3:$I$102,'Rozpočet - HW a licencie'!$A$3:$A$102,'TCO TO BE - HW'!W$2,'Rozpočet - HW a licencie'!$C$3:$C$102,"HW",'Rozpočet - HW a licencie'!$G$3:$G$102,'TCO TO BE - HW'!$D9,'Rozpočet - HW a licencie'!$D$3:$D$102,'TCO TO BE - HW'!$B$15)+SUMIFS('Rozpočet - HW a licencie'!$I$3:$I$102,'Rozpočet - HW a licencie'!$A$3:$A$102,'TCO TO BE - HW'!W$2,'Rozpočet - HW a licencie'!$C$3:$C$102,"SW pre HW",'Rozpočet - HW a licencie'!$G$3:$G$102,'TCO TO BE - HW'!$D9,'Rozpočet - HW a licencie'!$D$3:$D$102,'TCO TO BE - HW'!$B$15),)</f>
        <v>0</v>
      </c>
      <c r="X19" s="565">
        <f>IFERROR(SUMIFS('Rozpočet - HW a licencie'!$I$3:$I$102,'Rozpočet - HW a licencie'!$A$3:$A$102,'TCO TO BE - HW'!X$2,'Rozpočet - HW a licencie'!$C$3:$C$102,"HW",'Rozpočet - HW a licencie'!$G$3:$G$102,'TCO TO BE - HW'!$D9,'Rozpočet - HW a licencie'!$D$3:$D$102,'TCO TO BE - HW'!$B$15)+SUMIFS('Rozpočet - HW a licencie'!$I$3:$I$102,'Rozpočet - HW a licencie'!$A$3:$A$102,'TCO TO BE - HW'!X$2,'Rozpočet - HW a licencie'!$C$3:$C$102,"SW pre HW",'Rozpočet - HW a licencie'!$G$3:$G$102,'TCO TO BE - HW'!$D9,'Rozpočet - HW a licencie'!$D$3:$D$102,'TCO TO BE - HW'!$B$15),)</f>
        <v>0</v>
      </c>
      <c r="Y19" s="565">
        <f>IFERROR(SUMIFS('Rozpočet - HW a licencie'!$I$3:$I$102,'Rozpočet - HW a licencie'!$A$3:$A$102,'TCO TO BE - HW'!Y$2,'Rozpočet - HW a licencie'!$C$3:$C$102,"HW",'Rozpočet - HW a licencie'!$G$3:$G$102,'TCO TO BE - HW'!$D9,'Rozpočet - HW a licencie'!$D$3:$D$102,'TCO TO BE - HW'!$B$15)+SUMIFS('Rozpočet - HW a licencie'!$I$3:$I$102,'Rozpočet - HW a licencie'!$A$3:$A$102,'TCO TO BE - HW'!Y$2,'Rozpočet - HW a licencie'!$C$3:$C$102,"SW pre HW",'Rozpočet - HW a licencie'!$G$3:$G$102,'TCO TO BE - HW'!$D9,'Rozpočet - HW a licencie'!$D$3:$D$102,'TCO TO BE - HW'!$B$15),)</f>
        <v>0</v>
      </c>
      <c r="Z19" s="565">
        <f>IFERROR(SUMIFS('Rozpočet - HW a licencie'!$I$3:$I$102,'Rozpočet - HW a licencie'!$A$3:$A$102,'TCO TO BE - HW'!Z$2,'Rozpočet - HW a licencie'!$C$3:$C$102,"HW",'Rozpočet - HW a licencie'!$G$3:$G$102,'TCO TO BE - HW'!$D9,'Rozpočet - HW a licencie'!$D$3:$D$102,'TCO TO BE - HW'!$B$15)+SUMIFS('Rozpočet - HW a licencie'!$I$3:$I$102,'Rozpočet - HW a licencie'!$A$3:$A$102,'TCO TO BE - HW'!Z$2,'Rozpočet - HW a licencie'!$C$3:$C$102,"SW pre HW",'Rozpočet - HW a licencie'!$G$3:$G$102,'TCO TO BE - HW'!$D9,'Rozpočet - HW a licencie'!$D$3:$D$102,'TCO TO BE - HW'!$B$15),)</f>
        <v>0</v>
      </c>
    </row>
    <row r="20" spans="1:26" outlineLevel="1">
      <c r="A20" s="807"/>
      <c r="B20" s="808"/>
      <c r="C20" s="808"/>
      <c r="D20" s="487">
        <v>6</v>
      </c>
      <c r="E20" s="68">
        <f t="shared" si="2"/>
        <v>0</v>
      </c>
      <c r="F20" s="565">
        <f>IFERROR(SUMIFS('Rozpočet - HW a licencie'!$I$3:$I$102,'Rozpočet - HW a licencie'!$A$3:$A$102,'TCO TO BE - HW'!F$2,'Rozpočet - HW a licencie'!$C$3:$C$102,"HW",'Rozpočet - HW a licencie'!$G$3:$G$102,'TCO TO BE - HW'!$D10,'Rozpočet - HW a licencie'!$D$3:$D$102,'TCO TO BE - HW'!$B$15)+SUMIFS('Rozpočet - HW a licencie'!$I$3:$I$102,'Rozpočet - HW a licencie'!$A$3:$A$102,'TCO TO BE - HW'!F$2,'Rozpočet - HW a licencie'!$C$3:$C$102,"SW pre HW",'Rozpočet - HW a licencie'!$G$3:$G$102,'TCO TO BE - HW'!$D10,'Rozpočet - HW a licencie'!$D$3:$D$102,'TCO TO BE - HW'!$B$15),)</f>
        <v>0</v>
      </c>
      <c r="G20" s="565">
        <f>IFERROR(SUMIFS('Rozpočet - HW a licencie'!$I$3:$I$102,'Rozpočet - HW a licencie'!$A$3:$A$102,'TCO TO BE - HW'!G$2,'Rozpočet - HW a licencie'!$C$3:$C$102,"HW",'Rozpočet - HW a licencie'!$G$3:$G$102,'TCO TO BE - HW'!$D10,'Rozpočet - HW a licencie'!$D$3:$D$102,'TCO TO BE - HW'!$B$15)+SUMIFS('Rozpočet - HW a licencie'!$I$3:$I$102,'Rozpočet - HW a licencie'!$A$3:$A$102,'TCO TO BE - HW'!G$2,'Rozpočet - HW a licencie'!$C$3:$C$102,"SW pre HW",'Rozpočet - HW a licencie'!$G$3:$G$102,'TCO TO BE - HW'!$D10,'Rozpočet - HW a licencie'!$D$3:$D$102,'TCO TO BE - HW'!$B$15),)</f>
        <v>0</v>
      </c>
      <c r="H20" s="565">
        <f>IFERROR(SUMIFS('Rozpočet - HW a licencie'!$I$3:$I$102,'Rozpočet - HW a licencie'!$A$3:$A$102,'TCO TO BE - HW'!H$2,'Rozpočet - HW a licencie'!$C$3:$C$102,"HW",'Rozpočet - HW a licencie'!$G$3:$G$102,'TCO TO BE - HW'!$D10,'Rozpočet - HW a licencie'!$D$3:$D$102,'TCO TO BE - HW'!$B$15)+SUMIFS('Rozpočet - HW a licencie'!$I$3:$I$102,'Rozpočet - HW a licencie'!$A$3:$A$102,'TCO TO BE - HW'!H$2,'Rozpočet - HW a licencie'!$C$3:$C$102,"SW pre HW",'Rozpočet - HW a licencie'!$G$3:$G$102,'TCO TO BE - HW'!$D10,'Rozpočet - HW a licencie'!$D$3:$D$102,'TCO TO BE - HW'!$B$15),)</f>
        <v>0</v>
      </c>
      <c r="I20" s="565">
        <f>IFERROR(SUMIFS('Rozpočet - HW a licencie'!$I$3:$I$102,'Rozpočet - HW a licencie'!$A$3:$A$102,'TCO TO BE - HW'!I$2,'Rozpočet - HW a licencie'!$C$3:$C$102,"HW",'Rozpočet - HW a licencie'!$G$3:$G$102,'TCO TO BE - HW'!$D10,'Rozpočet - HW a licencie'!$D$3:$D$102,'TCO TO BE - HW'!$B$15)+SUMIFS('Rozpočet - HW a licencie'!$I$3:$I$102,'Rozpočet - HW a licencie'!$A$3:$A$102,'TCO TO BE - HW'!I$2,'Rozpočet - HW a licencie'!$C$3:$C$102,"SW pre HW",'Rozpočet - HW a licencie'!$G$3:$G$102,'TCO TO BE - HW'!$D10,'Rozpočet - HW a licencie'!$D$3:$D$102,'TCO TO BE - HW'!$B$15),)</f>
        <v>0</v>
      </c>
      <c r="J20" s="565">
        <f>IFERROR(SUMIFS('Rozpočet - HW a licencie'!$I$3:$I$102,'Rozpočet - HW a licencie'!$A$3:$A$102,'TCO TO BE - HW'!J$2,'Rozpočet - HW a licencie'!$C$3:$C$102,"HW",'Rozpočet - HW a licencie'!$G$3:$G$102,'TCO TO BE - HW'!$D10,'Rozpočet - HW a licencie'!$D$3:$D$102,'TCO TO BE - HW'!$B$15)+SUMIFS('Rozpočet - HW a licencie'!$I$3:$I$102,'Rozpočet - HW a licencie'!$A$3:$A$102,'TCO TO BE - HW'!J$2,'Rozpočet - HW a licencie'!$C$3:$C$102,"SW pre HW",'Rozpočet - HW a licencie'!$G$3:$G$102,'TCO TO BE - HW'!$D10,'Rozpočet - HW a licencie'!$D$3:$D$102,'TCO TO BE - HW'!$B$15),)</f>
        <v>0</v>
      </c>
      <c r="K20" s="565">
        <f>IFERROR(SUMIFS('Rozpočet - HW a licencie'!$I$3:$I$102,'Rozpočet - HW a licencie'!$A$3:$A$102,'TCO TO BE - HW'!K$2,'Rozpočet - HW a licencie'!$C$3:$C$102,"HW",'Rozpočet - HW a licencie'!$G$3:$G$102,'TCO TO BE - HW'!$D10,'Rozpočet - HW a licencie'!$D$3:$D$102,'TCO TO BE - HW'!$B$15)+SUMIFS('Rozpočet - HW a licencie'!$I$3:$I$102,'Rozpočet - HW a licencie'!$A$3:$A$102,'TCO TO BE - HW'!K$2,'Rozpočet - HW a licencie'!$C$3:$C$102,"SW pre HW",'Rozpočet - HW a licencie'!$G$3:$G$102,'TCO TO BE - HW'!$D10,'Rozpočet - HW a licencie'!$D$3:$D$102,'TCO TO BE - HW'!$B$15),)</f>
        <v>0</v>
      </c>
      <c r="L20" s="565">
        <f>IFERROR(SUMIFS('Rozpočet - HW a licencie'!$I$3:$I$102,'Rozpočet - HW a licencie'!$A$3:$A$102,'TCO TO BE - HW'!L$2,'Rozpočet - HW a licencie'!$C$3:$C$102,"HW",'Rozpočet - HW a licencie'!$G$3:$G$102,'TCO TO BE - HW'!$D10,'Rozpočet - HW a licencie'!$D$3:$D$102,'TCO TO BE - HW'!$B$15)+SUMIFS('Rozpočet - HW a licencie'!$I$3:$I$102,'Rozpočet - HW a licencie'!$A$3:$A$102,'TCO TO BE - HW'!L$2,'Rozpočet - HW a licencie'!$C$3:$C$102,"SW pre HW",'Rozpočet - HW a licencie'!$G$3:$G$102,'TCO TO BE - HW'!$D10,'Rozpočet - HW a licencie'!$D$3:$D$102,'TCO TO BE - HW'!$B$15),)</f>
        <v>0</v>
      </c>
      <c r="M20" s="565">
        <f>IFERROR(SUMIFS('Rozpočet - HW a licencie'!$I$3:$I$102,'Rozpočet - HW a licencie'!$A$3:$A$102,'TCO TO BE - HW'!M$2,'Rozpočet - HW a licencie'!$C$3:$C$102,"HW",'Rozpočet - HW a licencie'!$G$3:$G$102,'TCO TO BE - HW'!$D10,'Rozpočet - HW a licencie'!$D$3:$D$102,'TCO TO BE - HW'!$B$15)+SUMIFS('Rozpočet - HW a licencie'!$I$3:$I$102,'Rozpočet - HW a licencie'!$A$3:$A$102,'TCO TO BE - HW'!M$2,'Rozpočet - HW a licencie'!$C$3:$C$102,"SW pre HW",'Rozpočet - HW a licencie'!$G$3:$G$102,'TCO TO BE - HW'!$D10,'Rozpočet - HW a licencie'!$D$3:$D$102,'TCO TO BE - HW'!$B$15),)</f>
        <v>0</v>
      </c>
      <c r="N20" s="565">
        <f>IFERROR(SUMIFS('Rozpočet - HW a licencie'!$I$3:$I$102,'Rozpočet - HW a licencie'!$A$3:$A$102,'TCO TO BE - HW'!N$2,'Rozpočet - HW a licencie'!$C$3:$C$102,"HW",'Rozpočet - HW a licencie'!$G$3:$G$102,'TCO TO BE - HW'!$D10,'Rozpočet - HW a licencie'!$D$3:$D$102,'TCO TO BE - HW'!$B$15)+SUMIFS('Rozpočet - HW a licencie'!$I$3:$I$102,'Rozpočet - HW a licencie'!$A$3:$A$102,'TCO TO BE - HW'!N$2,'Rozpočet - HW a licencie'!$C$3:$C$102,"SW pre HW",'Rozpočet - HW a licencie'!$G$3:$G$102,'TCO TO BE - HW'!$D10,'Rozpočet - HW a licencie'!$D$3:$D$102,'TCO TO BE - HW'!$B$15),)</f>
        <v>0</v>
      </c>
      <c r="O20" s="565">
        <f>IFERROR(SUMIFS('Rozpočet - HW a licencie'!$I$3:$I$102,'Rozpočet - HW a licencie'!$A$3:$A$102,'TCO TO BE - HW'!O$2,'Rozpočet - HW a licencie'!$C$3:$C$102,"HW",'Rozpočet - HW a licencie'!$G$3:$G$102,'TCO TO BE - HW'!$D10,'Rozpočet - HW a licencie'!$D$3:$D$102,'TCO TO BE - HW'!$B$15)+SUMIFS('Rozpočet - HW a licencie'!$I$3:$I$102,'Rozpočet - HW a licencie'!$A$3:$A$102,'TCO TO BE - HW'!O$2,'Rozpočet - HW a licencie'!$C$3:$C$102,"SW pre HW",'Rozpočet - HW a licencie'!$G$3:$G$102,'TCO TO BE - HW'!$D10,'Rozpočet - HW a licencie'!$D$3:$D$102,'TCO TO BE - HW'!$B$15),)</f>
        <v>0</v>
      </c>
      <c r="P20" s="565">
        <f>IFERROR(SUMIFS('Rozpočet - HW a licencie'!$I$3:$I$102,'Rozpočet - HW a licencie'!$A$3:$A$102,'TCO TO BE - HW'!P$2,'Rozpočet - HW a licencie'!$C$3:$C$102,"HW",'Rozpočet - HW a licencie'!$G$3:$G$102,'TCO TO BE - HW'!$D10,'Rozpočet - HW a licencie'!$D$3:$D$102,'TCO TO BE - HW'!$B$15)+SUMIFS('Rozpočet - HW a licencie'!$I$3:$I$102,'Rozpočet - HW a licencie'!$A$3:$A$102,'TCO TO BE - HW'!P$2,'Rozpočet - HW a licencie'!$C$3:$C$102,"SW pre HW",'Rozpočet - HW a licencie'!$G$3:$G$102,'TCO TO BE - HW'!$D10,'Rozpočet - HW a licencie'!$D$3:$D$102,'TCO TO BE - HW'!$B$15),)</f>
        <v>0</v>
      </c>
      <c r="Q20" s="565">
        <f>IFERROR(SUMIFS('Rozpočet - HW a licencie'!$I$3:$I$102,'Rozpočet - HW a licencie'!$A$3:$A$102,'TCO TO BE - HW'!Q$2,'Rozpočet - HW a licencie'!$C$3:$C$102,"HW",'Rozpočet - HW a licencie'!$G$3:$G$102,'TCO TO BE - HW'!$D10,'Rozpočet - HW a licencie'!$D$3:$D$102,'TCO TO BE - HW'!$B$15)+SUMIFS('Rozpočet - HW a licencie'!$I$3:$I$102,'Rozpočet - HW a licencie'!$A$3:$A$102,'TCO TO BE - HW'!Q$2,'Rozpočet - HW a licencie'!$C$3:$C$102,"SW pre HW",'Rozpočet - HW a licencie'!$G$3:$G$102,'TCO TO BE - HW'!$D10,'Rozpočet - HW a licencie'!$D$3:$D$102,'TCO TO BE - HW'!$B$15),)</f>
        <v>0</v>
      </c>
      <c r="R20" s="565">
        <f>IFERROR(SUMIFS('Rozpočet - HW a licencie'!$I$3:$I$102,'Rozpočet - HW a licencie'!$A$3:$A$102,'TCO TO BE - HW'!R$2,'Rozpočet - HW a licencie'!$C$3:$C$102,"HW",'Rozpočet - HW a licencie'!$G$3:$G$102,'TCO TO BE - HW'!$D10,'Rozpočet - HW a licencie'!$D$3:$D$102,'TCO TO BE - HW'!$B$15)+SUMIFS('Rozpočet - HW a licencie'!$I$3:$I$102,'Rozpočet - HW a licencie'!$A$3:$A$102,'TCO TO BE - HW'!R$2,'Rozpočet - HW a licencie'!$C$3:$C$102,"SW pre HW",'Rozpočet - HW a licencie'!$G$3:$G$102,'TCO TO BE - HW'!$D10,'Rozpočet - HW a licencie'!$D$3:$D$102,'TCO TO BE - HW'!$B$15),)</f>
        <v>0</v>
      </c>
      <c r="S20" s="565">
        <f>IFERROR(SUMIFS('Rozpočet - HW a licencie'!$I$3:$I$102,'Rozpočet - HW a licencie'!$A$3:$A$102,'TCO TO BE - HW'!S$2,'Rozpočet - HW a licencie'!$C$3:$C$102,"HW",'Rozpočet - HW a licencie'!$G$3:$G$102,'TCO TO BE - HW'!$D10,'Rozpočet - HW a licencie'!$D$3:$D$102,'TCO TO BE - HW'!$B$15)+SUMIFS('Rozpočet - HW a licencie'!$I$3:$I$102,'Rozpočet - HW a licencie'!$A$3:$A$102,'TCO TO BE - HW'!S$2,'Rozpočet - HW a licencie'!$C$3:$C$102,"SW pre HW",'Rozpočet - HW a licencie'!$G$3:$G$102,'TCO TO BE - HW'!$D10,'Rozpočet - HW a licencie'!$D$3:$D$102,'TCO TO BE - HW'!$B$15),)</f>
        <v>0</v>
      </c>
      <c r="T20" s="565">
        <f>IFERROR(SUMIFS('Rozpočet - HW a licencie'!$I$3:$I$102,'Rozpočet - HW a licencie'!$A$3:$A$102,'TCO TO BE - HW'!T$2,'Rozpočet - HW a licencie'!$C$3:$C$102,"HW",'Rozpočet - HW a licencie'!$G$3:$G$102,'TCO TO BE - HW'!$D10,'Rozpočet - HW a licencie'!$D$3:$D$102,'TCO TO BE - HW'!$B$15)+SUMIFS('Rozpočet - HW a licencie'!$I$3:$I$102,'Rozpočet - HW a licencie'!$A$3:$A$102,'TCO TO BE - HW'!T$2,'Rozpočet - HW a licencie'!$C$3:$C$102,"SW pre HW",'Rozpočet - HW a licencie'!$G$3:$G$102,'TCO TO BE - HW'!$D10,'Rozpočet - HW a licencie'!$D$3:$D$102,'TCO TO BE - HW'!$B$15),)</f>
        <v>0</v>
      </c>
      <c r="U20" s="565">
        <f>IFERROR(SUMIFS('Rozpočet - HW a licencie'!$I$3:$I$102,'Rozpočet - HW a licencie'!$A$3:$A$102,'TCO TO BE - HW'!U$2,'Rozpočet - HW a licencie'!$C$3:$C$102,"HW",'Rozpočet - HW a licencie'!$G$3:$G$102,'TCO TO BE - HW'!$D10,'Rozpočet - HW a licencie'!$D$3:$D$102,'TCO TO BE - HW'!$B$15)+SUMIFS('Rozpočet - HW a licencie'!$I$3:$I$102,'Rozpočet - HW a licencie'!$A$3:$A$102,'TCO TO BE - HW'!U$2,'Rozpočet - HW a licencie'!$C$3:$C$102,"SW pre HW",'Rozpočet - HW a licencie'!$G$3:$G$102,'TCO TO BE - HW'!$D10,'Rozpočet - HW a licencie'!$D$3:$D$102,'TCO TO BE - HW'!$B$15),)</f>
        <v>0</v>
      </c>
      <c r="V20" s="565">
        <f>IFERROR(SUMIFS('Rozpočet - HW a licencie'!$I$3:$I$102,'Rozpočet - HW a licencie'!$A$3:$A$102,'TCO TO BE - HW'!V$2,'Rozpočet - HW a licencie'!$C$3:$C$102,"HW",'Rozpočet - HW a licencie'!$G$3:$G$102,'TCO TO BE - HW'!$D10,'Rozpočet - HW a licencie'!$D$3:$D$102,'TCO TO BE - HW'!$B$15)+SUMIFS('Rozpočet - HW a licencie'!$I$3:$I$102,'Rozpočet - HW a licencie'!$A$3:$A$102,'TCO TO BE - HW'!V$2,'Rozpočet - HW a licencie'!$C$3:$C$102,"SW pre HW",'Rozpočet - HW a licencie'!$G$3:$G$102,'TCO TO BE - HW'!$D10,'Rozpočet - HW a licencie'!$D$3:$D$102,'TCO TO BE - HW'!$B$15),)</f>
        <v>0</v>
      </c>
      <c r="W20" s="565">
        <f>IFERROR(SUMIFS('Rozpočet - HW a licencie'!$I$3:$I$102,'Rozpočet - HW a licencie'!$A$3:$A$102,'TCO TO BE - HW'!W$2,'Rozpočet - HW a licencie'!$C$3:$C$102,"HW",'Rozpočet - HW a licencie'!$G$3:$G$102,'TCO TO BE - HW'!$D10,'Rozpočet - HW a licencie'!$D$3:$D$102,'TCO TO BE - HW'!$B$15)+SUMIFS('Rozpočet - HW a licencie'!$I$3:$I$102,'Rozpočet - HW a licencie'!$A$3:$A$102,'TCO TO BE - HW'!W$2,'Rozpočet - HW a licencie'!$C$3:$C$102,"SW pre HW",'Rozpočet - HW a licencie'!$G$3:$G$102,'TCO TO BE - HW'!$D10,'Rozpočet - HW a licencie'!$D$3:$D$102,'TCO TO BE - HW'!$B$15),)</f>
        <v>0</v>
      </c>
      <c r="X20" s="565">
        <f>IFERROR(SUMIFS('Rozpočet - HW a licencie'!$I$3:$I$102,'Rozpočet - HW a licencie'!$A$3:$A$102,'TCO TO BE - HW'!X$2,'Rozpočet - HW a licencie'!$C$3:$C$102,"HW",'Rozpočet - HW a licencie'!$G$3:$G$102,'TCO TO BE - HW'!$D10,'Rozpočet - HW a licencie'!$D$3:$D$102,'TCO TO BE - HW'!$B$15)+SUMIFS('Rozpočet - HW a licencie'!$I$3:$I$102,'Rozpočet - HW a licencie'!$A$3:$A$102,'TCO TO BE - HW'!X$2,'Rozpočet - HW a licencie'!$C$3:$C$102,"SW pre HW",'Rozpočet - HW a licencie'!$G$3:$G$102,'TCO TO BE - HW'!$D10,'Rozpočet - HW a licencie'!$D$3:$D$102,'TCO TO BE - HW'!$B$15),)</f>
        <v>0</v>
      </c>
      <c r="Y20" s="565">
        <f>IFERROR(SUMIFS('Rozpočet - HW a licencie'!$I$3:$I$102,'Rozpočet - HW a licencie'!$A$3:$A$102,'TCO TO BE - HW'!Y$2,'Rozpočet - HW a licencie'!$C$3:$C$102,"HW",'Rozpočet - HW a licencie'!$G$3:$G$102,'TCO TO BE - HW'!$D10,'Rozpočet - HW a licencie'!$D$3:$D$102,'TCO TO BE - HW'!$B$15)+SUMIFS('Rozpočet - HW a licencie'!$I$3:$I$102,'Rozpočet - HW a licencie'!$A$3:$A$102,'TCO TO BE - HW'!Y$2,'Rozpočet - HW a licencie'!$C$3:$C$102,"SW pre HW",'Rozpočet - HW a licencie'!$G$3:$G$102,'TCO TO BE - HW'!$D10,'Rozpočet - HW a licencie'!$D$3:$D$102,'TCO TO BE - HW'!$B$15),)</f>
        <v>0</v>
      </c>
      <c r="Z20" s="565">
        <f>IFERROR(SUMIFS('Rozpočet - HW a licencie'!$I$3:$I$102,'Rozpočet - HW a licencie'!$A$3:$A$102,'TCO TO BE - HW'!Z$2,'Rozpočet - HW a licencie'!$C$3:$C$102,"HW",'Rozpočet - HW a licencie'!$G$3:$G$102,'TCO TO BE - HW'!$D10,'Rozpočet - HW a licencie'!$D$3:$D$102,'TCO TO BE - HW'!$B$15)+SUMIFS('Rozpočet - HW a licencie'!$I$3:$I$102,'Rozpočet - HW a licencie'!$A$3:$A$102,'TCO TO BE - HW'!Z$2,'Rozpočet - HW a licencie'!$C$3:$C$102,"SW pre HW",'Rozpočet - HW a licencie'!$G$3:$G$102,'TCO TO BE - HW'!$D10,'Rozpočet - HW a licencie'!$D$3:$D$102,'TCO TO BE - HW'!$B$15),)</f>
        <v>0</v>
      </c>
    </row>
    <row r="21" spans="1:26" outlineLevel="1">
      <c r="A21" s="807"/>
      <c r="B21" s="808"/>
      <c r="C21" s="808"/>
      <c r="D21" s="487">
        <v>7</v>
      </c>
      <c r="E21" s="68">
        <f t="shared" si="2"/>
        <v>0</v>
      </c>
      <c r="F21" s="565">
        <f>IFERROR(SUMIFS('Rozpočet - HW a licencie'!$I$3:$I$102,'Rozpočet - HW a licencie'!$A$3:$A$102,'TCO TO BE - HW'!F$2,'Rozpočet - HW a licencie'!$C$3:$C$102,"HW",'Rozpočet - HW a licencie'!$G$3:$G$102,'TCO TO BE - HW'!$D11,'Rozpočet - HW a licencie'!$D$3:$D$102,'TCO TO BE - HW'!$B$15)+SUMIFS('Rozpočet - HW a licencie'!$I$3:$I$102,'Rozpočet - HW a licencie'!$A$3:$A$102,'TCO TO BE - HW'!F$2,'Rozpočet - HW a licencie'!$C$3:$C$102,"SW pre HW",'Rozpočet - HW a licencie'!$G$3:$G$102,'TCO TO BE - HW'!$D11,'Rozpočet - HW a licencie'!$D$3:$D$102,'TCO TO BE - HW'!$B$15),)</f>
        <v>0</v>
      </c>
      <c r="G21" s="565">
        <f>IFERROR(SUMIFS('Rozpočet - HW a licencie'!$I$3:$I$102,'Rozpočet - HW a licencie'!$A$3:$A$102,'TCO TO BE - HW'!G$2,'Rozpočet - HW a licencie'!$C$3:$C$102,"HW",'Rozpočet - HW a licencie'!$G$3:$G$102,'TCO TO BE - HW'!$D11,'Rozpočet - HW a licencie'!$D$3:$D$102,'TCO TO BE - HW'!$B$15)+SUMIFS('Rozpočet - HW a licencie'!$I$3:$I$102,'Rozpočet - HW a licencie'!$A$3:$A$102,'TCO TO BE - HW'!G$2,'Rozpočet - HW a licencie'!$C$3:$C$102,"SW pre HW",'Rozpočet - HW a licencie'!$G$3:$G$102,'TCO TO BE - HW'!$D11,'Rozpočet - HW a licencie'!$D$3:$D$102,'TCO TO BE - HW'!$B$15),)</f>
        <v>0</v>
      </c>
      <c r="H21" s="565">
        <f>IFERROR(SUMIFS('Rozpočet - HW a licencie'!$I$3:$I$102,'Rozpočet - HW a licencie'!$A$3:$A$102,'TCO TO BE - HW'!H$2,'Rozpočet - HW a licencie'!$C$3:$C$102,"HW",'Rozpočet - HW a licencie'!$G$3:$G$102,'TCO TO BE - HW'!$D11,'Rozpočet - HW a licencie'!$D$3:$D$102,'TCO TO BE - HW'!$B$15)+SUMIFS('Rozpočet - HW a licencie'!$I$3:$I$102,'Rozpočet - HW a licencie'!$A$3:$A$102,'TCO TO BE - HW'!H$2,'Rozpočet - HW a licencie'!$C$3:$C$102,"SW pre HW",'Rozpočet - HW a licencie'!$G$3:$G$102,'TCO TO BE - HW'!$D11,'Rozpočet - HW a licencie'!$D$3:$D$102,'TCO TO BE - HW'!$B$15),)</f>
        <v>0</v>
      </c>
      <c r="I21" s="565">
        <f>IFERROR(SUMIFS('Rozpočet - HW a licencie'!$I$3:$I$102,'Rozpočet - HW a licencie'!$A$3:$A$102,'TCO TO BE - HW'!I$2,'Rozpočet - HW a licencie'!$C$3:$C$102,"HW",'Rozpočet - HW a licencie'!$G$3:$G$102,'TCO TO BE - HW'!$D11,'Rozpočet - HW a licencie'!$D$3:$D$102,'TCO TO BE - HW'!$B$15)+SUMIFS('Rozpočet - HW a licencie'!$I$3:$I$102,'Rozpočet - HW a licencie'!$A$3:$A$102,'TCO TO BE - HW'!I$2,'Rozpočet - HW a licencie'!$C$3:$C$102,"SW pre HW",'Rozpočet - HW a licencie'!$G$3:$G$102,'TCO TO BE - HW'!$D11,'Rozpočet - HW a licencie'!$D$3:$D$102,'TCO TO BE - HW'!$B$15),)</f>
        <v>0</v>
      </c>
      <c r="J21" s="565">
        <f>IFERROR(SUMIFS('Rozpočet - HW a licencie'!$I$3:$I$102,'Rozpočet - HW a licencie'!$A$3:$A$102,'TCO TO BE - HW'!J$2,'Rozpočet - HW a licencie'!$C$3:$C$102,"HW",'Rozpočet - HW a licencie'!$G$3:$G$102,'TCO TO BE - HW'!$D11,'Rozpočet - HW a licencie'!$D$3:$D$102,'TCO TO BE - HW'!$B$15)+SUMIFS('Rozpočet - HW a licencie'!$I$3:$I$102,'Rozpočet - HW a licencie'!$A$3:$A$102,'TCO TO BE - HW'!J$2,'Rozpočet - HW a licencie'!$C$3:$C$102,"SW pre HW",'Rozpočet - HW a licencie'!$G$3:$G$102,'TCO TO BE - HW'!$D11,'Rozpočet - HW a licencie'!$D$3:$D$102,'TCO TO BE - HW'!$B$15),)</f>
        <v>0</v>
      </c>
      <c r="K21" s="565">
        <f>IFERROR(SUMIFS('Rozpočet - HW a licencie'!$I$3:$I$102,'Rozpočet - HW a licencie'!$A$3:$A$102,'TCO TO BE - HW'!K$2,'Rozpočet - HW a licencie'!$C$3:$C$102,"HW",'Rozpočet - HW a licencie'!$G$3:$G$102,'TCO TO BE - HW'!$D11,'Rozpočet - HW a licencie'!$D$3:$D$102,'TCO TO BE - HW'!$B$15)+SUMIFS('Rozpočet - HW a licencie'!$I$3:$I$102,'Rozpočet - HW a licencie'!$A$3:$A$102,'TCO TO BE - HW'!K$2,'Rozpočet - HW a licencie'!$C$3:$C$102,"SW pre HW",'Rozpočet - HW a licencie'!$G$3:$G$102,'TCO TO BE - HW'!$D11,'Rozpočet - HW a licencie'!$D$3:$D$102,'TCO TO BE - HW'!$B$15),)</f>
        <v>0</v>
      </c>
      <c r="L21" s="565">
        <f>IFERROR(SUMIFS('Rozpočet - HW a licencie'!$I$3:$I$102,'Rozpočet - HW a licencie'!$A$3:$A$102,'TCO TO BE - HW'!L$2,'Rozpočet - HW a licencie'!$C$3:$C$102,"HW",'Rozpočet - HW a licencie'!$G$3:$G$102,'TCO TO BE - HW'!$D11,'Rozpočet - HW a licencie'!$D$3:$D$102,'TCO TO BE - HW'!$B$15)+SUMIFS('Rozpočet - HW a licencie'!$I$3:$I$102,'Rozpočet - HW a licencie'!$A$3:$A$102,'TCO TO BE - HW'!L$2,'Rozpočet - HW a licencie'!$C$3:$C$102,"SW pre HW",'Rozpočet - HW a licencie'!$G$3:$G$102,'TCO TO BE - HW'!$D11,'Rozpočet - HW a licencie'!$D$3:$D$102,'TCO TO BE - HW'!$B$15),)</f>
        <v>0</v>
      </c>
      <c r="M21" s="565">
        <f>IFERROR(SUMIFS('Rozpočet - HW a licencie'!$I$3:$I$102,'Rozpočet - HW a licencie'!$A$3:$A$102,'TCO TO BE - HW'!M$2,'Rozpočet - HW a licencie'!$C$3:$C$102,"HW",'Rozpočet - HW a licencie'!$G$3:$G$102,'TCO TO BE - HW'!$D11,'Rozpočet - HW a licencie'!$D$3:$D$102,'TCO TO BE - HW'!$B$15)+SUMIFS('Rozpočet - HW a licencie'!$I$3:$I$102,'Rozpočet - HW a licencie'!$A$3:$A$102,'TCO TO BE - HW'!M$2,'Rozpočet - HW a licencie'!$C$3:$C$102,"SW pre HW",'Rozpočet - HW a licencie'!$G$3:$G$102,'TCO TO BE - HW'!$D11,'Rozpočet - HW a licencie'!$D$3:$D$102,'TCO TO BE - HW'!$B$15),)</f>
        <v>0</v>
      </c>
      <c r="N21" s="565">
        <f>IFERROR(SUMIFS('Rozpočet - HW a licencie'!$I$3:$I$102,'Rozpočet - HW a licencie'!$A$3:$A$102,'TCO TO BE - HW'!N$2,'Rozpočet - HW a licencie'!$C$3:$C$102,"HW",'Rozpočet - HW a licencie'!$G$3:$G$102,'TCO TO BE - HW'!$D11,'Rozpočet - HW a licencie'!$D$3:$D$102,'TCO TO BE - HW'!$B$15)+SUMIFS('Rozpočet - HW a licencie'!$I$3:$I$102,'Rozpočet - HW a licencie'!$A$3:$A$102,'TCO TO BE - HW'!N$2,'Rozpočet - HW a licencie'!$C$3:$C$102,"SW pre HW",'Rozpočet - HW a licencie'!$G$3:$G$102,'TCO TO BE - HW'!$D11,'Rozpočet - HW a licencie'!$D$3:$D$102,'TCO TO BE - HW'!$B$15),)</f>
        <v>0</v>
      </c>
      <c r="O21" s="565">
        <f>IFERROR(SUMIFS('Rozpočet - HW a licencie'!$I$3:$I$102,'Rozpočet - HW a licencie'!$A$3:$A$102,'TCO TO BE - HW'!O$2,'Rozpočet - HW a licencie'!$C$3:$C$102,"HW",'Rozpočet - HW a licencie'!$G$3:$G$102,'TCO TO BE - HW'!$D11,'Rozpočet - HW a licencie'!$D$3:$D$102,'TCO TO BE - HW'!$B$15)+SUMIFS('Rozpočet - HW a licencie'!$I$3:$I$102,'Rozpočet - HW a licencie'!$A$3:$A$102,'TCO TO BE - HW'!O$2,'Rozpočet - HW a licencie'!$C$3:$C$102,"SW pre HW",'Rozpočet - HW a licencie'!$G$3:$G$102,'TCO TO BE - HW'!$D11,'Rozpočet - HW a licencie'!$D$3:$D$102,'TCO TO BE - HW'!$B$15),)</f>
        <v>0</v>
      </c>
      <c r="P21" s="565">
        <f>IFERROR(SUMIFS('Rozpočet - HW a licencie'!$I$3:$I$102,'Rozpočet - HW a licencie'!$A$3:$A$102,'TCO TO BE - HW'!P$2,'Rozpočet - HW a licencie'!$C$3:$C$102,"HW",'Rozpočet - HW a licencie'!$G$3:$G$102,'TCO TO BE - HW'!$D11,'Rozpočet - HW a licencie'!$D$3:$D$102,'TCO TO BE - HW'!$B$15)+SUMIFS('Rozpočet - HW a licencie'!$I$3:$I$102,'Rozpočet - HW a licencie'!$A$3:$A$102,'TCO TO BE - HW'!P$2,'Rozpočet - HW a licencie'!$C$3:$C$102,"SW pre HW",'Rozpočet - HW a licencie'!$G$3:$G$102,'TCO TO BE - HW'!$D11,'Rozpočet - HW a licencie'!$D$3:$D$102,'TCO TO BE - HW'!$B$15),)</f>
        <v>0</v>
      </c>
      <c r="Q21" s="565">
        <f>IFERROR(SUMIFS('Rozpočet - HW a licencie'!$I$3:$I$102,'Rozpočet - HW a licencie'!$A$3:$A$102,'TCO TO BE - HW'!Q$2,'Rozpočet - HW a licencie'!$C$3:$C$102,"HW",'Rozpočet - HW a licencie'!$G$3:$G$102,'TCO TO BE - HW'!$D11,'Rozpočet - HW a licencie'!$D$3:$D$102,'TCO TO BE - HW'!$B$15)+SUMIFS('Rozpočet - HW a licencie'!$I$3:$I$102,'Rozpočet - HW a licencie'!$A$3:$A$102,'TCO TO BE - HW'!Q$2,'Rozpočet - HW a licencie'!$C$3:$C$102,"SW pre HW",'Rozpočet - HW a licencie'!$G$3:$G$102,'TCO TO BE - HW'!$D11,'Rozpočet - HW a licencie'!$D$3:$D$102,'TCO TO BE - HW'!$B$15),)</f>
        <v>0</v>
      </c>
      <c r="R21" s="565">
        <f>IFERROR(SUMIFS('Rozpočet - HW a licencie'!$I$3:$I$102,'Rozpočet - HW a licencie'!$A$3:$A$102,'TCO TO BE - HW'!R$2,'Rozpočet - HW a licencie'!$C$3:$C$102,"HW",'Rozpočet - HW a licencie'!$G$3:$G$102,'TCO TO BE - HW'!$D11,'Rozpočet - HW a licencie'!$D$3:$D$102,'TCO TO BE - HW'!$B$15)+SUMIFS('Rozpočet - HW a licencie'!$I$3:$I$102,'Rozpočet - HW a licencie'!$A$3:$A$102,'TCO TO BE - HW'!R$2,'Rozpočet - HW a licencie'!$C$3:$C$102,"SW pre HW",'Rozpočet - HW a licencie'!$G$3:$G$102,'TCO TO BE - HW'!$D11,'Rozpočet - HW a licencie'!$D$3:$D$102,'TCO TO BE - HW'!$B$15),)</f>
        <v>0</v>
      </c>
      <c r="S21" s="565">
        <f>IFERROR(SUMIFS('Rozpočet - HW a licencie'!$I$3:$I$102,'Rozpočet - HW a licencie'!$A$3:$A$102,'TCO TO BE - HW'!S$2,'Rozpočet - HW a licencie'!$C$3:$C$102,"HW",'Rozpočet - HW a licencie'!$G$3:$G$102,'TCO TO BE - HW'!$D11,'Rozpočet - HW a licencie'!$D$3:$D$102,'TCO TO BE - HW'!$B$15)+SUMIFS('Rozpočet - HW a licencie'!$I$3:$I$102,'Rozpočet - HW a licencie'!$A$3:$A$102,'TCO TO BE - HW'!S$2,'Rozpočet - HW a licencie'!$C$3:$C$102,"SW pre HW",'Rozpočet - HW a licencie'!$G$3:$G$102,'TCO TO BE - HW'!$D11,'Rozpočet - HW a licencie'!$D$3:$D$102,'TCO TO BE - HW'!$B$15),)</f>
        <v>0</v>
      </c>
      <c r="T21" s="565">
        <f>IFERROR(SUMIFS('Rozpočet - HW a licencie'!$I$3:$I$102,'Rozpočet - HW a licencie'!$A$3:$A$102,'TCO TO BE - HW'!T$2,'Rozpočet - HW a licencie'!$C$3:$C$102,"HW",'Rozpočet - HW a licencie'!$G$3:$G$102,'TCO TO BE - HW'!$D11,'Rozpočet - HW a licencie'!$D$3:$D$102,'TCO TO BE - HW'!$B$15)+SUMIFS('Rozpočet - HW a licencie'!$I$3:$I$102,'Rozpočet - HW a licencie'!$A$3:$A$102,'TCO TO BE - HW'!T$2,'Rozpočet - HW a licencie'!$C$3:$C$102,"SW pre HW",'Rozpočet - HW a licencie'!$G$3:$G$102,'TCO TO BE - HW'!$D11,'Rozpočet - HW a licencie'!$D$3:$D$102,'TCO TO BE - HW'!$B$15),)</f>
        <v>0</v>
      </c>
      <c r="U21" s="565">
        <f>IFERROR(SUMIFS('Rozpočet - HW a licencie'!$I$3:$I$102,'Rozpočet - HW a licencie'!$A$3:$A$102,'TCO TO BE - HW'!U$2,'Rozpočet - HW a licencie'!$C$3:$C$102,"HW",'Rozpočet - HW a licencie'!$G$3:$G$102,'TCO TO BE - HW'!$D11,'Rozpočet - HW a licencie'!$D$3:$D$102,'TCO TO BE - HW'!$B$15)+SUMIFS('Rozpočet - HW a licencie'!$I$3:$I$102,'Rozpočet - HW a licencie'!$A$3:$A$102,'TCO TO BE - HW'!U$2,'Rozpočet - HW a licencie'!$C$3:$C$102,"SW pre HW",'Rozpočet - HW a licencie'!$G$3:$G$102,'TCO TO BE - HW'!$D11,'Rozpočet - HW a licencie'!$D$3:$D$102,'TCO TO BE - HW'!$B$15),)</f>
        <v>0</v>
      </c>
      <c r="V21" s="565">
        <f>IFERROR(SUMIFS('Rozpočet - HW a licencie'!$I$3:$I$102,'Rozpočet - HW a licencie'!$A$3:$A$102,'TCO TO BE - HW'!V$2,'Rozpočet - HW a licencie'!$C$3:$C$102,"HW",'Rozpočet - HW a licencie'!$G$3:$G$102,'TCO TO BE - HW'!$D11,'Rozpočet - HW a licencie'!$D$3:$D$102,'TCO TO BE - HW'!$B$15)+SUMIFS('Rozpočet - HW a licencie'!$I$3:$I$102,'Rozpočet - HW a licencie'!$A$3:$A$102,'TCO TO BE - HW'!V$2,'Rozpočet - HW a licencie'!$C$3:$C$102,"SW pre HW",'Rozpočet - HW a licencie'!$G$3:$G$102,'TCO TO BE - HW'!$D11,'Rozpočet - HW a licencie'!$D$3:$D$102,'TCO TO BE - HW'!$B$15),)</f>
        <v>0</v>
      </c>
      <c r="W21" s="565">
        <f>IFERROR(SUMIFS('Rozpočet - HW a licencie'!$I$3:$I$102,'Rozpočet - HW a licencie'!$A$3:$A$102,'TCO TO BE - HW'!W$2,'Rozpočet - HW a licencie'!$C$3:$C$102,"HW",'Rozpočet - HW a licencie'!$G$3:$G$102,'TCO TO BE - HW'!$D11,'Rozpočet - HW a licencie'!$D$3:$D$102,'TCO TO BE - HW'!$B$15)+SUMIFS('Rozpočet - HW a licencie'!$I$3:$I$102,'Rozpočet - HW a licencie'!$A$3:$A$102,'TCO TO BE - HW'!W$2,'Rozpočet - HW a licencie'!$C$3:$C$102,"SW pre HW",'Rozpočet - HW a licencie'!$G$3:$G$102,'TCO TO BE - HW'!$D11,'Rozpočet - HW a licencie'!$D$3:$D$102,'TCO TO BE - HW'!$B$15),)</f>
        <v>0</v>
      </c>
      <c r="X21" s="565">
        <f>IFERROR(SUMIFS('Rozpočet - HW a licencie'!$I$3:$I$102,'Rozpočet - HW a licencie'!$A$3:$A$102,'TCO TO BE - HW'!X$2,'Rozpočet - HW a licencie'!$C$3:$C$102,"HW",'Rozpočet - HW a licencie'!$G$3:$G$102,'TCO TO BE - HW'!$D11,'Rozpočet - HW a licencie'!$D$3:$D$102,'TCO TO BE - HW'!$B$15)+SUMIFS('Rozpočet - HW a licencie'!$I$3:$I$102,'Rozpočet - HW a licencie'!$A$3:$A$102,'TCO TO BE - HW'!X$2,'Rozpočet - HW a licencie'!$C$3:$C$102,"SW pre HW",'Rozpočet - HW a licencie'!$G$3:$G$102,'TCO TO BE - HW'!$D11,'Rozpočet - HW a licencie'!$D$3:$D$102,'TCO TO BE - HW'!$B$15),)</f>
        <v>0</v>
      </c>
      <c r="Y21" s="565">
        <f>IFERROR(SUMIFS('Rozpočet - HW a licencie'!$I$3:$I$102,'Rozpočet - HW a licencie'!$A$3:$A$102,'TCO TO BE - HW'!Y$2,'Rozpočet - HW a licencie'!$C$3:$C$102,"HW",'Rozpočet - HW a licencie'!$G$3:$G$102,'TCO TO BE - HW'!$D11,'Rozpočet - HW a licencie'!$D$3:$D$102,'TCO TO BE - HW'!$B$15)+SUMIFS('Rozpočet - HW a licencie'!$I$3:$I$102,'Rozpočet - HW a licencie'!$A$3:$A$102,'TCO TO BE - HW'!Y$2,'Rozpočet - HW a licencie'!$C$3:$C$102,"SW pre HW",'Rozpočet - HW a licencie'!$G$3:$G$102,'TCO TO BE - HW'!$D11,'Rozpočet - HW a licencie'!$D$3:$D$102,'TCO TO BE - HW'!$B$15),)</f>
        <v>0</v>
      </c>
      <c r="Z21" s="565">
        <f>IFERROR(SUMIFS('Rozpočet - HW a licencie'!$I$3:$I$102,'Rozpočet - HW a licencie'!$A$3:$A$102,'TCO TO BE - HW'!Z$2,'Rozpočet - HW a licencie'!$C$3:$C$102,"HW",'Rozpočet - HW a licencie'!$G$3:$G$102,'TCO TO BE - HW'!$D11,'Rozpočet - HW a licencie'!$D$3:$D$102,'TCO TO BE - HW'!$B$15)+SUMIFS('Rozpočet - HW a licencie'!$I$3:$I$102,'Rozpočet - HW a licencie'!$A$3:$A$102,'TCO TO BE - HW'!Z$2,'Rozpočet - HW a licencie'!$C$3:$C$102,"SW pre HW",'Rozpočet - HW a licencie'!$G$3:$G$102,'TCO TO BE - HW'!$D11,'Rozpočet - HW a licencie'!$D$3:$D$102,'TCO TO BE - HW'!$B$15),)</f>
        <v>0</v>
      </c>
    </row>
    <row r="22" spans="1:26" outlineLevel="1">
      <c r="A22" s="807"/>
      <c r="B22" s="808"/>
      <c r="C22" s="808"/>
      <c r="D22" s="487">
        <v>8</v>
      </c>
      <c r="E22" s="68">
        <f t="shared" si="2"/>
        <v>0</v>
      </c>
      <c r="F22" s="565">
        <f>IFERROR(SUMIFS('Rozpočet - HW a licencie'!$I$3:$I$102,'Rozpočet - HW a licencie'!$A$3:$A$102,'TCO TO BE - HW'!F$2,'Rozpočet - HW a licencie'!$C$3:$C$102,"HW",'Rozpočet - HW a licencie'!$G$3:$G$102,'TCO TO BE - HW'!$D12,'Rozpočet - HW a licencie'!$D$3:$D$102,'TCO TO BE - HW'!$B$15)+SUMIFS('Rozpočet - HW a licencie'!$I$3:$I$102,'Rozpočet - HW a licencie'!$A$3:$A$102,'TCO TO BE - HW'!F$2,'Rozpočet - HW a licencie'!$C$3:$C$102,"SW pre HW",'Rozpočet - HW a licencie'!$G$3:$G$102,'TCO TO BE - HW'!$D12,'Rozpočet - HW a licencie'!$D$3:$D$102,'TCO TO BE - HW'!$B$15),)</f>
        <v>0</v>
      </c>
      <c r="G22" s="565">
        <f>IFERROR(SUMIFS('Rozpočet - HW a licencie'!$I$3:$I$102,'Rozpočet - HW a licencie'!$A$3:$A$102,'TCO TO BE - HW'!G$2,'Rozpočet - HW a licencie'!$C$3:$C$102,"HW",'Rozpočet - HW a licencie'!$G$3:$G$102,'TCO TO BE - HW'!$D12,'Rozpočet - HW a licencie'!$D$3:$D$102,'TCO TO BE - HW'!$B$15)+SUMIFS('Rozpočet - HW a licencie'!$I$3:$I$102,'Rozpočet - HW a licencie'!$A$3:$A$102,'TCO TO BE - HW'!G$2,'Rozpočet - HW a licencie'!$C$3:$C$102,"SW pre HW",'Rozpočet - HW a licencie'!$G$3:$G$102,'TCO TO BE - HW'!$D12,'Rozpočet - HW a licencie'!$D$3:$D$102,'TCO TO BE - HW'!$B$15),)</f>
        <v>0</v>
      </c>
      <c r="H22" s="565">
        <f>IFERROR(SUMIFS('Rozpočet - HW a licencie'!$I$3:$I$102,'Rozpočet - HW a licencie'!$A$3:$A$102,'TCO TO BE - HW'!H$2,'Rozpočet - HW a licencie'!$C$3:$C$102,"HW",'Rozpočet - HW a licencie'!$G$3:$G$102,'TCO TO BE - HW'!$D12,'Rozpočet - HW a licencie'!$D$3:$D$102,'TCO TO BE - HW'!$B$15)+SUMIFS('Rozpočet - HW a licencie'!$I$3:$I$102,'Rozpočet - HW a licencie'!$A$3:$A$102,'TCO TO BE - HW'!H$2,'Rozpočet - HW a licencie'!$C$3:$C$102,"SW pre HW",'Rozpočet - HW a licencie'!$G$3:$G$102,'TCO TO BE - HW'!$D12,'Rozpočet - HW a licencie'!$D$3:$D$102,'TCO TO BE - HW'!$B$15),)</f>
        <v>0</v>
      </c>
      <c r="I22" s="565">
        <f>IFERROR(SUMIFS('Rozpočet - HW a licencie'!$I$3:$I$102,'Rozpočet - HW a licencie'!$A$3:$A$102,'TCO TO BE - HW'!I$2,'Rozpočet - HW a licencie'!$C$3:$C$102,"HW",'Rozpočet - HW a licencie'!$G$3:$G$102,'TCO TO BE - HW'!$D12,'Rozpočet - HW a licencie'!$D$3:$D$102,'TCO TO BE - HW'!$B$15)+SUMIFS('Rozpočet - HW a licencie'!$I$3:$I$102,'Rozpočet - HW a licencie'!$A$3:$A$102,'TCO TO BE - HW'!I$2,'Rozpočet - HW a licencie'!$C$3:$C$102,"SW pre HW",'Rozpočet - HW a licencie'!$G$3:$G$102,'TCO TO BE - HW'!$D12,'Rozpočet - HW a licencie'!$D$3:$D$102,'TCO TO BE - HW'!$B$15),)</f>
        <v>0</v>
      </c>
      <c r="J22" s="565">
        <f>IFERROR(SUMIFS('Rozpočet - HW a licencie'!$I$3:$I$102,'Rozpočet - HW a licencie'!$A$3:$A$102,'TCO TO BE - HW'!J$2,'Rozpočet - HW a licencie'!$C$3:$C$102,"HW",'Rozpočet - HW a licencie'!$G$3:$G$102,'TCO TO BE - HW'!$D12,'Rozpočet - HW a licencie'!$D$3:$D$102,'TCO TO BE - HW'!$B$15)+SUMIFS('Rozpočet - HW a licencie'!$I$3:$I$102,'Rozpočet - HW a licencie'!$A$3:$A$102,'TCO TO BE - HW'!J$2,'Rozpočet - HW a licencie'!$C$3:$C$102,"SW pre HW",'Rozpočet - HW a licencie'!$G$3:$G$102,'TCO TO BE - HW'!$D12,'Rozpočet - HW a licencie'!$D$3:$D$102,'TCO TO BE - HW'!$B$15),)</f>
        <v>0</v>
      </c>
      <c r="K22" s="565">
        <f>IFERROR(SUMIFS('Rozpočet - HW a licencie'!$I$3:$I$102,'Rozpočet - HW a licencie'!$A$3:$A$102,'TCO TO BE - HW'!K$2,'Rozpočet - HW a licencie'!$C$3:$C$102,"HW",'Rozpočet - HW a licencie'!$G$3:$G$102,'TCO TO BE - HW'!$D12,'Rozpočet - HW a licencie'!$D$3:$D$102,'TCO TO BE - HW'!$B$15)+SUMIFS('Rozpočet - HW a licencie'!$I$3:$I$102,'Rozpočet - HW a licencie'!$A$3:$A$102,'TCO TO BE - HW'!K$2,'Rozpočet - HW a licencie'!$C$3:$C$102,"SW pre HW",'Rozpočet - HW a licencie'!$G$3:$G$102,'TCO TO BE - HW'!$D12,'Rozpočet - HW a licencie'!$D$3:$D$102,'TCO TO BE - HW'!$B$15),)</f>
        <v>0</v>
      </c>
      <c r="L22" s="565">
        <f>IFERROR(SUMIFS('Rozpočet - HW a licencie'!$I$3:$I$102,'Rozpočet - HW a licencie'!$A$3:$A$102,'TCO TO BE - HW'!L$2,'Rozpočet - HW a licencie'!$C$3:$C$102,"HW",'Rozpočet - HW a licencie'!$G$3:$G$102,'TCO TO BE - HW'!$D12,'Rozpočet - HW a licencie'!$D$3:$D$102,'TCO TO BE - HW'!$B$15)+SUMIFS('Rozpočet - HW a licencie'!$I$3:$I$102,'Rozpočet - HW a licencie'!$A$3:$A$102,'TCO TO BE - HW'!L$2,'Rozpočet - HW a licencie'!$C$3:$C$102,"SW pre HW",'Rozpočet - HW a licencie'!$G$3:$G$102,'TCO TO BE - HW'!$D12,'Rozpočet - HW a licencie'!$D$3:$D$102,'TCO TO BE - HW'!$B$15),)</f>
        <v>0</v>
      </c>
      <c r="M22" s="565">
        <f>IFERROR(SUMIFS('Rozpočet - HW a licencie'!$I$3:$I$102,'Rozpočet - HW a licencie'!$A$3:$A$102,'TCO TO BE - HW'!M$2,'Rozpočet - HW a licencie'!$C$3:$C$102,"HW",'Rozpočet - HW a licencie'!$G$3:$G$102,'TCO TO BE - HW'!$D12,'Rozpočet - HW a licencie'!$D$3:$D$102,'TCO TO BE - HW'!$B$15)+SUMIFS('Rozpočet - HW a licencie'!$I$3:$I$102,'Rozpočet - HW a licencie'!$A$3:$A$102,'TCO TO BE - HW'!M$2,'Rozpočet - HW a licencie'!$C$3:$C$102,"SW pre HW",'Rozpočet - HW a licencie'!$G$3:$G$102,'TCO TO BE - HW'!$D12,'Rozpočet - HW a licencie'!$D$3:$D$102,'TCO TO BE - HW'!$B$15),)</f>
        <v>0</v>
      </c>
      <c r="N22" s="565">
        <f>IFERROR(SUMIFS('Rozpočet - HW a licencie'!$I$3:$I$102,'Rozpočet - HW a licencie'!$A$3:$A$102,'TCO TO BE - HW'!N$2,'Rozpočet - HW a licencie'!$C$3:$C$102,"HW",'Rozpočet - HW a licencie'!$G$3:$G$102,'TCO TO BE - HW'!$D12,'Rozpočet - HW a licencie'!$D$3:$D$102,'TCO TO BE - HW'!$B$15)+SUMIFS('Rozpočet - HW a licencie'!$I$3:$I$102,'Rozpočet - HW a licencie'!$A$3:$A$102,'TCO TO BE - HW'!N$2,'Rozpočet - HW a licencie'!$C$3:$C$102,"SW pre HW",'Rozpočet - HW a licencie'!$G$3:$G$102,'TCO TO BE - HW'!$D12,'Rozpočet - HW a licencie'!$D$3:$D$102,'TCO TO BE - HW'!$B$15),)</f>
        <v>0</v>
      </c>
      <c r="O22" s="565">
        <f>IFERROR(SUMIFS('Rozpočet - HW a licencie'!$I$3:$I$102,'Rozpočet - HW a licencie'!$A$3:$A$102,'TCO TO BE - HW'!O$2,'Rozpočet - HW a licencie'!$C$3:$C$102,"HW",'Rozpočet - HW a licencie'!$G$3:$G$102,'TCO TO BE - HW'!$D12,'Rozpočet - HW a licencie'!$D$3:$D$102,'TCO TO BE - HW'!$B$15)+SUMIFS('Rozpočet - HW a licencie'!$I$3:$I$102,'Rozpočet - HW a licencie'!$A$3:$A$102,'TCO TO BE - HW'!O$2,'Rozpočet - HW a licencie'!$C$3:$C$102,"SW pre HW",'Rozpočet - HW a licencie'!$G$3:$G$102,'TCO TO BE - HW'!$D12,'Rozpočet - HW a licencie'!$D$3:$D$102,'TCO TO BE - HW'!$B$15),)</f>
        <v>0</v>
      </c>
      <c r="P22" s="565">
        <f>IFERROR(SUMIFS('Rozpočet - HW a licencie'!$I$3:$I$102,'Rozpočet - HW a licencie'!$A$3:$A$102,'TCO TO BE - HW'!P$2,'Rozpočet - HW a licencie'!$C$3:$C$102,"HW",'Rozpočet - HW a licencie'!$G$3:$G$102,'TCO TO BE - HW'!$D12,'Rozpočet - HW a licencie'!$D$3:$D$102,'TCO TO BE - HW'!$B$15)+SUMIFS('Rozpočet - HW a licencie'!$I$3:$I$102,'Rozpočet - HW a licencie'!$A$3:$A$102,'TCO TO BE - HW'!P$2,'Rozpočet - HW a licencie'!$C$3:$C$102,"SW pre HW",'Rozpočet - HW a licencie'!$G$3:$G$102,'TCO TO BE - HW'!$D12,'Rozpočet - HW a licencie'!$D$3:$D$102,'TCO TO BE - HW'!$B$15),)</f>
        <v>0</v>
      </c>
      <c r="Q22" s="565">
        <f>IFERROR(SUMIFS('Rozpočet - HW a licencie'!$I$3:$I$102,'Rozpočet - HW a licencie'!$A$3:$A$102,'TCO TO BE - HW'!Q$2,'Rozpočet - HW a licencie'!$C$3:$C$102,"HW",'Rozpočet - HW a licencie'!$G$3:$G$102,'TCO TO BE - HW'!$D12,'Rozpočet - HW a licencie'!$D$3:$D$102,'TCO TO BE - HW'!$B$15)+SUMIFS('Rozpočet - HW a licencie'!$I$3:$I$102,'Rozpočet - HW a licencie'!$A$3:$A$102,'TCO TO BE - HW'!Q$2,'Rozpočet - HW a licencie'!$C$3:$C$102,"SW pre HW",'Rozpočet - HW a licencie'!$G$3:$G$102,'TCO TO BE - HW'!$D12,'Rozpočet - HW a licencie'!$D$3:$D$102,'TCO TO BE - HW'!$B$15),)</f>
        <v>0</v>
      </c>
      <c r="R22" s="565">
        <f>IFERROR(SUMIFS('Rozpočet - HW a licencie'!$I$3:$I$102,'Rozpočet - HW a licencie'!$A$3:$A$102,'TCO TO BE - HW'!R$2,'Rozpočet - HW a licencie'!$C$3:$C$102,"HW",'Rozpočet - HW a licencie'!$G$3:$G$102,'TCO TO BE - HW'!$D12,'Rozpočet - HW a licencie'!$D$3:$D$102,'TCO TO BE - HW'!$B$15)+SUMIFS('Rozpočet - HW a licencie'!$I$3:$I$102,'Rozpočet - HW a licencie'!$A$3:$A$102,'TCO TO BE - HW'!R$2,'Rozpočet - HW a licencie'!$C$3:$C$102,"SW pre HW",'Rozpočet - HW a licencie'!$G$3:$G$102,'TCO TO BE - HW'!$D12,'Rozpočet - HW a licencie'!$D$3:$D$102,'TCO TO BE - HW'!$B$15),)</f>
        <v>0</v>
      </c>
      <c r="S22" s="565">
        <f>IFERROR(SUMIFS('Rozpočet - HW a licencie'!$I$3:$I$102,'Rozpočet - HW a licencie'!$A$3:$A$102,'TCO TO BE - HW'!S$2,'Rozpočet - HW a licencie'!$C$3:$C$102,"HW",'Rozpočet - HW a licencie'!$G$3:$G$102,'TCO TO BE - HW'!$D12,'Rozpočet - HW a licencie'!$D$3:$D$102,'TCO TO BE - HW'!$B$15)+SUMIFS('Rozpočet - HW a licencie'!$I$3:$I$102,'Rozpočet - HW a licencie'!$A$3:$A$102,'TCO TO BE - HW'!S$2,'Rozpočet - HW a licencie'!$C$3:$C$102,"SW pre HW",'Rozpočet - HW a licencie'!$G$3:$G$102,'TCO TO BE - HW'!$D12,'Rozpočet - HW a licencie'!$D$3:$D$102,'TCO TO BE - HW'!$B$15),)</f>
        <v>0</v>
      </c>
      <c r="T22" s="565">
        <f>IFERROR(SUMIFS('Rozpočet - HW a licencie'!$I$3:$I$102,'Rozpočet - HW a licencie'!$A$3:$A$102,'TCO TO BE - HW'!T$2,'Rozpočet - HW a licencie'!$C$3:$C$102,"HW",'Rozpočet - HW a licencie'!$G$3:$G$102,'TCO TO BE - HW'!$D12,'Rozpočet - HW a licencie'!$D$3:$D$102,'TCO TO BE - HW'!$B$15)+SUMIFS('Rozpočet - HW a licencie'!$I$3:$I$102,'Rozpočet - HW a licencie'!$A$3:$A$102,'TCO TO BE - HW'!T$2,'Rozpočet - HW a licencie'!$C$3:$C$102,"SW pre HW",'Rozpočet - HW a licencie'!$G$3:$G$102,'TCO TO BE - HW'!$D12,'Rozpočet - HW a licencie'!$D$3:$D$102,'TCO TO BE - HW'!$B$15),)</f>
        <v>0</v>
      </c>
      <c r="U22" s="565">
        <f>IFERROR(SUMIFS('Rozpočet - HW a licencie'!$I$3:$I$102,'Rozpočet - HW a licencie'!$A$3:$A$102,'TCO TO BE - HW'!U$2,'Rozpočet - HW a licencie'!$C$3:$C$102,"HW",'Rozpočet - HW a licencie'!$G$3:$G$102,'TCO TO BE - HW'!$D12,'Rozpočet - HW a licencie'!$D$3:$D$102,'TCO TO BE - HW'!$B$15)+SUMIFS('Rozpočet - HW a licencie'!$I$3:$I$102,'Rozpočet - HW a licencie'!$A$3:$A$102,'TCO TO BE - HW'!U$2,'Rozpočet - HW a licencie'!$C$3:$C$102,"SW pre HW",'Rozpočet - HW a licencie'!$G$3:$G$102,'TCO TO BE - HW'!$D12,'Rozpočet - HW a licencie'!$D$3:$D$102,'TCO TO BE - HW'!$B$15),)</f>
        <v>0</v>
      </c>
      <c r="V22" s="565">
        <f>IFERROR(SUMIFS('Rozpočet - HW a licencie'!$I$3:$I$102,'Rozpočet - HW a licencie'!$A$3:$A$102,'TCO TO BE - HW'!V$2,'Rozpočet - HW a licencie'!$C$3:$C$102,"HW",'Rozpočet - HW a licencie'!$G$3:$G$102,'TCO TO BE - HW'!$D12,'Rozpočet - HW a licencie'!$D$3:$D$102,'TCO TO BE - HW'!$B$15)+SUMIFS('Rozpočet - HW a licencie'!$I$3:$I$102,'Rozpočet - HW a licencie'!$A$3:$A$102,'TCO TO BE - HW'!V$2,'Rozpočet - HW a licencie'!$C$3:$C$102,"SW pre HW",'Rozpočet - HW a licencie'!$G$3:$G$102,'TCO TO BE - HW'!$D12,'Rozpočet - HW a licencie'!$D$3:$D$102,'TCO TO BE - HW'!$B$15),)</f>
        <v>0</v>
      </c>
      <c r="W22" s="565">
        <f>IFERROR(SUMIFS('Rozpočet - HW a licencie'!$I$3:$I$102,'Rozpočet - HW a licencie'!$A$3:$A$102,'TCO TO BE - HW'!W$2,'Rozpočet - HW a licencie'!$C$3:$C$102,"HW",'Rozpočet - HW a licencie'!$G$3:$G$102,'TCO TO BE - HW'!$D12,'Rozpočet - HW a licencie'!$D$3:$D$102,'TCO TO BE - HW'!$B$15)+SUMIFS('Rozpočet - HW a licencie'!$I$3:$I$102,'Rozpočet - HW a licencie'!$A$3:$A$102,'TCO TO BE - HW'!W$2,'Rozpočet - HW a licencie'!$C$3:$C$102,"SW pre HW",'Rozpočet - HW a licencie'!$G$3:$G$102,'TCO TO BE - HW'!$D12,'Rozpočet - HW a licencie'!$D$3:$D$102,'TCO TO BE - HW'!$B$15),)</f>
        <v>0</v>
      </c>
      <c r="X22" s="565">
        <f>IFERROR(SUMIFS('Rozpočet - HW a licencie'!$I$3:$I$102,'Rozpočet - HW a licencie'!$A$3:$A$102,'TCO TO BE - HW'!X$2,'Rozpočet - HW a licencie'!$C$3:$C$102,"HW",'Rozpočet - HW a licencie'!$G$3:$G$102,'TCO TO BE - HW'!$D12,'Rozpočet - HW a licencie'!$D$3:$D$102,'TCO TO BE - HW'!$B$15)+SUMIFS('Rozpočet - HW a licencie'!$I$3:$I$102,'Rozpočet - HW a licencie'!$A$3:$A$102,'TCO TO BE - HW'!X$2,'Rozpočet - HW a licencie'!$C$3:$C$102,"SW pre HW",'Rozpočet - HW a licencie'!$G$3:$G$102,'TCO TO BE - HW'!$D12,'Rozpočet - HW a licencie'!$D$3:$D$102,'TCO TO BE - HW'!$B$15),)</f>
        <v>0</v>
      </c>
      <c r="Y22" s="565">
        <f>IFERROR(SUMIFS('Rozpočet - HW a licencie'!$I$3:$I$102,'Rozpočet - HW a licencie'!$A$3:$A$102,'TCO TO BE - HW'!Y$2,'Rozpočet - HW a licencie'!$C$3:$C$102,"HW",'Rozpočet - HW a licencie'!$G$3:$G$102,'TCO TO BE - HW'!$D12,'Rozpočet - HW a licencie'!$D$3:$D$102,'TCO TO BE - HW'!$B$15)+SUMIFS('Rozpočet - HW a licencie'!$I$3:$I$102,'Rozpočet - HW a licencie'!$A$3:$A$102,'TCO TO BE - HW'!Y$2,'Rozpočet - HW a licencie'!$C$3:$C$102,"SW pre HW",'Rozpočet - HW a licencie'!$G$3:$G$102,'TCO TO BE - HW'!$D12,'Rozpočet - HW a licencie'!$D$3:$D$102,'TCO TO BE - HW'!$B$15),)</f>
        <v>0</v>
      </c>
      <c r="Z22" s="565">
        <f>IFERROR(SUMIFS('Rozpočet - HW a licencie'!$I$3:$I$102,'Rozpočet - HW a licencie'!$A$3:$A$102,'TCO TO BE - HW'!Z$2,'Rozpočet - HW a licencie'!$C$3:$C$102,"HW",'Rozpočet - HW a licencie'!$G$3:$G$102,'TCO TO BE - HW'!$D12,'Rozpočet - HW a licencie'!$D$3:$D$102,'TCO TO BE - HW'!$B$15)+SUMIFS('Rozpočet - HW a licencie'!$I$3:$I$102,'Rozpočet - HW a licencie'!$A$3:$A$102,'TCO TO BE - HW'!Z$2,'Rozpočet - HW a licencie'!$C$3:$C$102,"SW pre HW",'Rozpočet - HW a licencie'!$G$3:$G$102,'TCO TO BE - HW'!$D12,'Rozpočet - HW a licencie'!$D$3:$D$102,'TCO TO BE - HW'!$B$15),)</f>
        <v>0</v>
      </c>
    </row>
    <row r="23" spans="1:26" outlineLevel="1">
      <c r="A23" s="807"/>
      <c r="B23" s="808"/>
      <c r="C23" s="808"/>
      <c r="D23" s="487">
        <v>9</v>
      </c>
      <c r="E23" s="68">
        <f t="shared" si="2"/>
        <v>0</v>
      </c>
      <c r="F23" s="565">
        <f>IFERROR(SUMIFS('Rozpočet - HW a licencie'!$I$3:$I$102,'Rozpočet - HW a licencie'!$A$3:$A$102,'TCO TO BE - HW'!F$2,'Rozpočet - HW a licencie'!$C$3:$C$102,"HW",'Rozpočet - HW a licencie'!$G$3:$G$102,'TCO TO BE - HW'!$D13,'Rozpočet - HW a licencie'!$D$3:$D$102,'TCO TO BE - HW'!$B$15)+SUMIFS('Rozpočet - HW a licencie'!$I$3:$I$102,'Rozpočet - HW a licencie'!$A$3:$A$102,'TCO TO BE - HW'!F$2,'Rozpočet - HW a licencie'!$C$3:$C$102,"SW pre HW",'Rozpočet - HW a licencie'!$G$3:$G$102,'TCO TO BE - HW'!$D13,'Rozpočet - HW a licencie'!$D$3:$D$102,'TCO TO BE - HW'!$B$15),)</f>
        <v>0</v>
      </c>
      <c r="G23" s="565">
        <f>IFERROR(SUMIFS('Rozpočet - HW a licencie'!$I$3:$I$102,'Rozpočet - HW a licencie'!$A$3:$A$102,'TCO TO BE - HW'!G$2,'Rozpočet - HW a licencie'!$C$3:$C$102,"HW",'Rozpočet - HW a licencie'!$G$3:$G$102,'TCO TO BE - HW'!$D13,'Rozpočet - HW a licencie'!$D$3:$D$102,'TCO TO BE - HW'!$B$15)+SUMIFS('Rozpočet - HW a licencie'!$I$3:$I$102,'Rozpočet - HW a licencie'!$A$3:$A$102,'TCO TO BE - HW'!G$2,'Rozpočet - HW a licencie'!$C$3:$C$102,"SW pre HW",'Rozpočet - HW a licencie'!$G$3:$G$102,'TCO TO BE - HW'!$D13,'Rozpočet - HW a licencie'!$D$3:$D$102,'TCO TO BE - HW'!$B$15),)</f>
        <v>0</v>
      </c>
      <c r="H23" s="565">
        <f>IFERROR(SUMIFS('Rozpočet - HW a licencie'!$I$3:$I$102,'Rozpočet - HW a licencie'!$A$3:$A$102,'TCO TO BE - HW'!H$2,'Rozpočet - HW a licencie'!$C$3:$C$102,"HW",'Rozpočet - HW a licencie'!$G$3:$G$102,'TCO TO BE - HW'!$D13,'Rozpočet - HW a licencie'!$D$3:$D$102,'TCO TO BE - HW'!$B$15)+SUMIFS('Rozpočet - HW a licencie'!$I$3:$I$102,'Rozpočet - HW a licencie'!$A$3:$A$102,'TCO TO BE - HW'!H$2,'Rozpočet - HW a licencie'!$C$3:$C$102,"SW pre HW",'Rozpočet - HW a licencie'!$G$3:$G$102,'TCO TO BE - HW'!$D13,'Rozpočet - HW a licencie'!$D$3:$D$102,'TCO TO BE - HW'!$B$15),)</f>
        <v>0</v>
      </c>
      <c r="I23" s="565">
        <f>IFERROR(SUMIFS('Rozpočet - HW a licencie'!$I$3:$I$102,'Rozpočet - HW a licencie'!$A$3:$A$102,'TCO TO BE - HW'!I$2,'Rozpočet - HW a licencie'!$C$3:$C$102,"HW",'Rozpočet - HW a licencie'!$G$3:$G$102,'TCO TO BE - HW'!$D13,'Rozpočet - HW a licencie'!$D$3:$D$102,'TCO TO BE - HW'!$B$15)+SUMIFS('Rozpočet - HW a licencie'!$I$3:$I$102,'Rozpočet - HW a licencie'!$A$3:$A$102,'TCO TO BE - HW'!I$2,'Rozpočet - HW a licencie'!$C$3:$C$102,"SW pre HW",'Rozpočet - HW a licencie'!$G$3:$G$102,'TCO TO BE - HW'!$D13,'Rozpočet - HW a licencie'!$D$3:$D$102,'TCO TO BE - HW'!$B$15),)</f>
        <v>0</v>
      </c>
      <c r="J23" s="565">
        <f>IFERROR(SUMIFS('Rozpočet - HW a licencie'!$I$3:$I$102,'Rozpočet - HW a licencie'!$A$3:$A$102,'TCO TO BE - HW'!J$2,'Rozpočet - HW a licencie'!$C$3:$C$102,"HW",'Rozpočet - HW a licencie'!$G$3:$G$102,'TCO TO BE - HW'!$D13,'Rozpočet - HW a licencie'!$D$3:$D$102,'TCO TO BE - HW'!$B$15)+SUMIFS('Rozpočet - HW a licencie'!$I$3:$I$102,'Rozpočet - HW a licencie'!$A$3:$A$102,'TCO TO BE - HW'!J$2,'Rozpočet - HW a licencie'!$C$3:$C$102,"SW pre HW",'Rozpočet - HW a licencie'!$G$3:$G$102,'TCO TO BE - HW'!$D13,'Rozpočet - HW a licencie'!$D$3:$D$102,'TCO TO BE - HW'!$B$15),)</f>
        <v>0</v>
      </c>
      <c r="K23" s="565">
        <f>IFERROR(SUMIFS('Rozpočet - HW a licencie'!$I$3:$I$102,'Rozpočet - HW a licencie'!$A$3:$A$102,'TCO TO BE - HW'!K$2,'Rozpočet - HW a licencie'!$C$3:$C$102,"HW",'Rozpočet - HW a licencie'!$G$3:$G$102,'TCO TO BE - HW'!$D13,'Rozpočet - HW a licencie'!$D$3:$D$102,'TCO TO BE - HW'!$B$15)+SUMIFS('Rozpočet - HW a licencie'!$I$3:$I$102,'Rozpočet - HW a licencie'!$A$3:$A$102,'TCO TO BE - HW'!K$2,'Rozpočet - HW a licencie'!$C$3:$C$102,"SW pre HW",'Rozpočet - HW a licencie'!$G$3:$G$102,'TCO TO BE - HW'!$D13,'Rozpočet - HW a licencie'!$D$3:$D$102,'TCO TO BE - HW'!$B$15),)</f>
        <v>0</v>
      </c>
      <c r="L23" s="565">
        <f>IFERROR(SUMIFS('Rozpočet - HW a licencie'!$I$3:$I$102,'Rozpočet - HW a licencie'!$A$3:$A$102,'TCO TO BE - HW'!L$2,'Rozpočet - HW a licencie'!$C$3:$C$102,"HW",'Rozpočet - HW a licencie'!$G$3:$G$102,'TCO TO BE - HW'!$D13,'Rozpočet - HW a licencie'!$D$3:$D$102,'TCO TO BE - HW'!$B$15)+SUMIFS('Rozpočet - HW a licencie'!$I$3:$I$102,'Rozpočet - HW a licencie'!$A$3:$A$102,'TCO TO BE - HW'!L$2,'Rozpočet - HW a licencie'!$C$3:$C$102,"SW pre HW",'Rozpočet - HW a licencie'!$G$3:$G$102,'TCO TO BE - HW'!$D13,'Rozpočet - HW a licencie'!$D$3:$D$102,'TCO TO BE - HW'!$B$15),)</f>
        <v>0</v>
      </c>
      <c r="M23" s="565">
        <f>IFERROR(SUMIFS('Rozpočet - HW a licencie'!$I$3:$I$102,'Rozpočet - HW a licencie'!$A$3:$A$102,'TCO TO BE - HW'!M$2,'Rozpočet - HW a licencie'!$C$3:$C$102,"HW",'Rozpočet - HW a licencie'!$G$3:$G$102,'TCO TO BE - HW'!$D13,'Rozpočet - HW a licencie'!$D$3:$D$102,'TCO TO BE - HW'!$B$15)+SUMIFS('Rozpočet - HW a licencie'!$I$3:$I$102,'Rozpočet - HW a licencie'!$A$3:$A$102,'TCO TO BE - HW'!M$2,'Rozpočet - HW a licencie'!$C$3:$C$102,"SW pre HW",'Rozpočet - HW a licencie'!$G$3:$G$102,'TCO TO BE - HW'!$D13,'Rozpočet - HW a licencie'!$D$3:$D$102,'TCO TO BE - HW'!$B$15),)</f>
        <v>0</v>
      </c>
      <c r="N23" s="565">
        <f>IFERROR(SUMIFS('Rozpočet - HW a licencie'!$I$3:$I$102,'Rozpočet - HW a licencie'!$A$3:$A$102,'TCO TO BE - HW'!N$2,'Rozpočet - HW a licencie'!$C$3:$C$102,"HW",'Rozpočet - HW a licencie'!$G$3:$G$102,'TCO TO BE - HW'!$D13,'Rozpočet - HW a licencie'!$D$3:$D$102,'TCO TO BE - HW'!$B$15)+SUMIFS('Rozpočet - HW a licencie'!$I$3:$I$102,'Rozpočet - HW a licencie'!$A$3:$A$102,'TCO TO BE - HW'!N$2,'Rozpočet - HW a licencie'!$C$3:$C$102,"SW pre HW",'Rozpočet - HW a licencie'!$G$3:$G$102,'TCO TO BE - HW'!$D13,'Rozpočet - HW a licencie'!$D$3:$D$102,'TCO TO BE - HW'!$B$15),)</f>
        <v>0</v>
      </c>
      <c r="O23" s="565">
        <f>IFERROR(SUMIFS('Rozpočet - HW a licencie'!$I$3:$I$102,'Rozpočet - HW a licencie'!$A$3:$A$102,'TCO TO BE - HW'!O$2,'Rozpočet - HW a licencie'!$C$3:$C$102,"HW",'Rozpočet - HW a licencie'!$G$3:$G$102,'TCO TO BE - HW'!$D13,'Rozpočet - HW a licencie'!$D$3:$D$102,'TCO TO BE - HW'!$B$15)+SUMIFS('Rozpočet - HW a licencie'!$I$3:$I$102,'Rozpočet - HW a licencie'!$A$3:$A$102,'TCO TO BE - HW'!O$2,'Rozpočet - HW a licencie'!$C$3:$C$102,"SW pre HW",'Rozpočet - HW a licencie'!$G$3:$G$102,'TCO TO BE - HW'!$D13,'Rozpočet - HW a licencie'!$D$3:$D$102,'TCO TO BE - HW'!$B$15),)</f>
        <v>0</v>
      </c>
      <c r="P23" s="565">
        <f>IFERROR(SUMIFS('Rozpočet - HW a licencie'!$I$3:$I$102,'Rozpočet - HW a licencie'!$A$3:$A$102,'TCO TO BE - HW'!P$2,'Rozpočet - HW a licencie'!$C$3:$C$102,"HW",'Rozpočet - HW a licencie'!$G$3:$G$102,'TCO TO BE - HW'!$D13,'Rozpočet - HW a licencie'!$D$3:$D$102,'TCO TO BE - HW'!$B$15)+SUMIFS('Rozpočet - HW a licencie'!$I$3:$I$102,'Rozpočet - HW a licencie'!$A$3:$A$102,'TCO TO BE - HW'!P$2,'Rozpočet - HW a licencie'!$C$3:$C$102,"SW pre HW",'Rozpočet - HW a licencie'!$G$3:$G$102,'TCO TO BE - HW'!$D13,'Rozpočet - HW a licencie'!$D$3:$D$102,'TCO TO BE - HW'!$B$15),)</f>
        <v>0</v>
      </c>
      <c r="Q23" s="565">
        <f>IFERROR(SUMIFS('Rozpočet - HW a licencie'!$I$3:$I$102,'Rozpočet - HW a licencie'!$A$3:$A$102,'TCO TO BE - HW'!Q$2,'Rozpočet - HW a licencie'!$C$3:$C$102,"HW",'Rozpočet - HW a licencie'!$G$3:$G$102,'TCO TO BE - HW'!$D13,'Rozpočet - HW a licencie'!$D$3:$D$102,'TCO TO BE - HW'!$B$15)+SUMIFS('Rozpočet - HW a licencie'!$I$3:$I$102,'Rozpočet - HW a licencie'!$A$3:$A$102,'TCO TO BE - HW'!Q$2,'Rozpočet - HW a licencie'!$C$3:$C$102,"SW pre HW",'Rozpočet - HW a licencie'!$G$3:$G$102,'TCO TO BE - HW'!$D13,'Rozpočet - HW a licencie'!$D$3:$D$102,'TCO TO BE - HW'!$B$15),)</f>
        <v>0</v>
      </c>
      <c r="R23" s="565">
        <f>IFERROR(SUMIFS('Rozpočet - HW a licencie'!$I$3:$I$102,'Rozpočet - HW a licencie'!$A$3:$A$102,'TCO TO BE - HW'!R$2,'Rozpočet - HW a licencie'!$C$3:$C$102,"HW",'Rozpočet - HW a licencie'!$G$3:$G$102,'TCO TO BE - HW'!$D13,'Rozpočet - HW a licencie'!$D$3:$D$102,'TCO TO BE - HW'!$B$15)+SUMIFS('Rozpočet - HW a licencie'!$I$3:$I$102,'Rozpočet - HW a licencie'!$A$3:$A$102,'TCO TO BE - HW'!R$2,'Rozpočet - HW a licencie'!$C$3:$C$102,"SW pre HW",'Rozpočet - HW a licencie'!$G$3:$G$102,'TCO TO BE - HW'!$D13,'Rozpočet - HW a licencie'!$D$3:$D$102,'TCO TO BE - HW'!$B$15),)</f>
        <v>0</v>
      </c>
      <c r="S23" s="565">
        <f>IFERROR(SUMIFS('Rozpočet - HW a licencie'!$I$3:$I$102,'Rozpočet - HW a licencie'!$A$3:$A$102,'TCO TO BE - HW'!S$2,'Rozpočet - HW a licencie'!$C$3:$C$102,"HW",'Rozpočet - HW a licencie'!$G$3:$G$102,'TCO TO BE - HW'!$D13,'Rozpočet - HW a licencie'!$D$3:$D$102,'TCO TO BE - HW'!$B$15)+SUMIFS('Rozpočet - HW a licencie'!$I$3:$I$102,'Rozpočet - HW a licencie'!$A$3:$A$102,'TCO TO BE - HW'!S$2,'Rozpočet - HW a licencie'!$C$3:$C$102,"SW pre HW",'Rozpočet - HW a licencie'!$G$3:$G$102,'TCO TO BE - HW'!$D13,'Rozpočet - HW a licencie'!$D$3:$D$102,'TCO TO BE - HW'!$B$15),)</f>
        <v>0</v>
      </c>
      <c r="T23" s="565">
        <f>IFERROR(SUMIFS('Rozpočet - HW a licencie'!$I$3:$I$102,'Rozpočet - HW a licencie'!$A$3:$A$102,'TCO TO BE - HW'!T$2,'Rozpočet - HW a licencie'!$C$3:$C$102,"HW",'Rozpočet - HW a licencie'!$G$3:$G$102,'TCO TO BE - HW'!$D13,'Rozpočet - HW a licencie'!$D$3:$D$102,'TCO TO BE - HW'!$B$15)+SUMIFS('Rozpočet - HW a licencie'!$I$3:$I$102,'Rozpočet - HW a licencie'!$A$3:$A$102,'TCO TO BE - HW'!T$2,'Rozpočet - HW a licencie'!$C$3:$C$102,"SW pre HW",'Rozpočet - HW a licencie'!$G$3:$G$102,'TCO TO BE - HW'!$D13,'Rozpočet - HW a licencie'!$D$3:$D$102,'TCO TO BE - HW'!$B$15),)</f>
        <v>0</v>
      </c>
      <c r="U23" s="565">
        <f>IFERROR(SUMIFS('Rozpočet - HW a licencie'!$I$3:$I$102,'Rozpočet - HW a licencie'!$A$3:$A$102,'TCO TO BE - HW'!U$2,'Rozpočet - HW a licencie'!$C$3:$C$102,"HW",'Rozpočet - HW a licencie'!$G$3:$G$102,'TCO TO BE - HW'!$D13,'Rozpočet - HW a licencie'!$D$3:$D$102,'TCO TO BE - HW'!$B$15)+SUMIFS('Rozpočet - HW a licencie'!$I$3:$I$102,'Rozpočet - HW a licencie'!$A$3:$A$102,'TCO TO BE - HW'!U$2,'Rozpočet - HW a licencie'!$C$3:$C$102,"SW pre HW",'Rozpočet - HW a licencie'!$G$3:$G$102,'TCO TO BE - HW'!$D13,'Rozpočet - HW a licencie'!$D$3:$D$102,'TCO TO BE - HW'!$B$15),)</f>
        <v>0</v>
      </c>
      <c r="V23" s="565">
        <f>IFERROR(SUMIFS('Rozpočet - HW a licencie'!$I$3:$I$102,'Rozpočet - HW a licencie'!$A$3:$A$102,'TCO TO BE - HW'!V$2,'Rozpočet - HW a licencie'!$C$3:$C$102,"HW",'Rozpočet - HW a licencie'!$G$3:$G$102,'TCO TO BE - HW'!$D13,'Rozpočet - HW a licencie'!$D$3:$D$102,'TCO TO BE - HW'!$B$15)+SUMIFS('Rozpočet - HW a licencie'!$I$3:$I$102,'Rozpočet - HW a licencie'!$A$3:$A$102,'TCO TO BE - HW'!V$2,'Rozpočet - HW a licencie'!$C$3:$C$102,"SW pre HW",'Rozpočet - HW a licencie'!$G$3:$G$102,'TCO TO BE - HW'!$D13,'Rozpočet - HW a licencie'!$D$3:$D$102,'TCO TO BE - HW'!$B$15),)</f>
        <v>0</v>
      </c>
      <c r="W23" s="565">
        <f>IFERROR(SUMIFS('Rozpočet - HW a licencie'!$I$3:$I$102,'Rozpočet - HW a licencie'!$A$3:$A$102,'TCO TO BE - HW'!W$2,'Rozpočet - HW a licencie'!$C$3:$C$102,"HW",'Rozpočet - HW a licencie'!$G$3:$G$102,'TCO TO BE - HW'!$D13,'Rozpočet - HW a licencie'!$D$3:$D$102,'TCO TO BE - HW'!$B$15)+SUMIFS('Rozpočet - HW a licencie'!$I$3:$I$102,'Rozpočet - HW a licencie'!$A$3:$A$102,'TCO TO BE - HW'!W$2,'Rozpočet - HW a licencie'!$C$3:$C$102,"SW pre HW",'Rozpočet - HW a licencie'!$G$3:$G$102,'TCO TO BE - HW'!$D13,'Rozpočet - HW a licencie'!$D$3:$D$102,'TCO TO BE - HW'!$B$15),)</f>
        <v>0</v>
      </c>
      <c r="X23" s="565">
        <f>IFERROR(SUMIFS('Rozpočet - HW a licencie'!$I$3:$I$102,'Rozpočet - HW a licencie'!$A$3:$A$102,'TCO TO BE - HW'!X$2,'Rozpočet - HW a licencie'!$C$3:$C$102,"HW",'Rozpočet - HW a licencie'!$G$3:$G$102,'TCO TO BE - HW'!$D13,'Rozpočet - HW a licencie'!$D$3:$D$102,'TCO TO BE - HW'!$B$15)+SUMIFS('Rozpočet - HW a licencie'!$I$3:$I$102,'Rozpočet - HW a licencie'!$A$3:$A$102,'TCO TO BE - HW'!X$2,'Rozpočet - HW a licencie'!$C$3:$C$102,"SW pre HW",'Rozpočet - HW a licencie'!$G$3:$G$102,'TCO TO BE - HW'!$D13,'Rozpočet - HW a licencie'!$D$3:$D$102,'TCO TO BE - HW'!$B$15),)</f>
        <v>0</v>
      </c>
      <c r="Y23" s="565">
        <f>IFERROR(SUMIFS('Rozpočet - HW a licencie'!$I$3:$I$102,'Rozpočet - HW a licencie'!$A$3:$A$102,'TCO TO BE - HW'!Y$2,'Rozpočet - HW a licencie'!$C$3:$C$102,"HW",'Rozpočet - HW a licencie'!$G$3:$G$102,'TCO TO BE - HW'!$D13,'Rozpočet - HW a licencie'!$D$3:$D$102,'TCO TO BE - HW'!$B$15)+SUMIFS('Rozpočet - HW a licencie'!$I$3:$I$102,'Rozpočet - HW a licencie'!$A$3:$A$102,'TCO TO BE - HW'!Y$2,'Rozpočet - HW a licencie'!$C$3:$C$102,"SW pre HW",'Rozpočet - HW a licencie'!$G$3:$G$102,'TCO TO BE - HW'!$D13,'Rozpočet - HW a licencie'!$D$3:$D$102,'TCO TO BE - HW'!$B$15),)</f>
        <v>0</v>
      </c>
      <c r="Z23" s="565">
        <f>IFERROR(SUMIFS('Rozpočet - HW a licencie'!$I$3:$I$102,'Rozpočet - HW a licencie'!$A$3:$A$102,'TCO TO BE - HW'!Z$2,'Rozpočet - HW a licencie'!$C$3:$C$102,"HW",'Rozpočet - HW a licencie'!$G$3:$G$102,'TCO TO BE - HW'!$D13,'Rozpočet - HW a licencie'!$D$3:$D$102,'TCO TO BE - HW'!$B$15)+SUMIFS('Rozpočet - HW a licencie'!$I$3:$I$102,'Rozpočet - HW a licencie'!$A$3:$A$102,'TCO TO BE - HW'!Z$2,'Rozpočet - HW a licencie'!$C$3:$C$102,"SW pre HW",'Rozpočet - HW a licencie'!$G$3:$G$102,'TCO TO BE - HW'!$D13,'Rozpočet - HW a licencie'!$D$3:$D$102,'TCO TO BE - HW'!$B$15),)</f>
        <v>0</v>
      </c>
    </row>
    <row r="24" spans="1:26" ht="15.75" outlineLevel="1" thickBot="1">
      <c r="A24" s="807"/>
      <c r="B24" s="808"/>
      <c r="C24" s="808"/>
      <c r="D24" s="488">
        <v>10</v>
      </c>
      <c r="E24" s="69">
        <f t="shared" si="2"/>
        <v>0</v>
      </c>
      <c r="F24" s="565">
        <f>IFERROR(SUMIFS('Rozpočet - HW a licencie'!$I$3:$I$102,'Rozpočet - HW a licencie'!$A$3:$A$102,'TCO TO BE - HW'!F$2,'Rozpočet - HW a licencie'!$C$3:$C$102,"HW",'Rozpočet - HW a licencie'!$G$3:$G$102,'TCO TO BE - HW'!$D14,'Rozpočet - HW a licencie'!$D$3:$D$102,'TCO TO BE - HW'!$B$15)+SUMIFS('Rozpočet - HW a licencie'!$I$3:$I$102,'Rozpočet - HW a licencie'!$A$3:$A$102,'TCO TO BE - HW'!F$2,'Rozpočet - HW a licencie'!$C$3:$C$102,"SW pre HW",'Rozpočet - HW a licencie'!$G$3:$G$102,'TCO TO BE - HW'!$D14,'Rozpočet - HW a licencie'!$D$3:$D$102,'TCO TO BE - HW'!$B$15),)</f>
        <v>0</v>
      </c>
      <c r="G24" s="566">
        <f>IFERROR(SUMIFS('Rozpočet - HW a licencie'!$I$3:$I$102,'Rozpočet - HW a licencie'!$A$3:$A$102,'TCO TO BE - HW'!G$2,'Rozpočet - HW a licencie'!$C$3:$C$102,"HW",'Rozpočet - HW a licencie'!$G$3:$G$102,'TCO TO BE - HW'!$D14,'Rozpočet - HW a licencie'!$D$3:$D$102,'TCO TO BE - HW'!$B$15)+SUMIFS('Rozpočet - HW a licencie'!$I$3:$I$102,'Rozpočet - HW a licencie'!$A$3:$A$102,'TCO TO BE - HW'!G$2,'Rozpočet - HW a licencie'!$C$3:$C$102,"SW pre HW",'Rozpočet - HW a licencie'!$G$3:$G$102,'TCO TO BE - HW'!$D14,'Rozpočet - HW a licencie'!$D$3:$D$102,'TCO TO BE - HW'!$B$15),)</f>
        <v>0</v>
      </c>
      <c r="H24" s="566">
        <f>IFERROR(SUMIFS('Rozpočet - HW a licencie'!$I$3:$I$102,'Rozpočet - HW a licencie'!$A$3:$A$102,'TCO TO BE - HW'!H$2,'Rozpočet - HW a licencie'!$C$3:$C$102,"HW",'Rozpočet - HW a licencie'!$G$3:$G$102,'TCO TO BE - HW'!$D14,'Rozpočet - HW a licencie'!$D$3:$D$102,'TCO TO BE - HW'!$B$15)+SUMIFS('Rozpočet - HW a licencie'!$I$3:$I$102,'Rozpočet - HW a licencie'!$A$3:$A$102,'TCO TO BE - HW'!H$2,'Rozpočet - HW a licencie'!$C$3:$C$102,"SW pre HW",'Rozpočet - HW a licencie'!$G$3:$G$102,'TCO TO BE - HW'!$D14,'Rozpočet - HW a licencie'!$D$3:$D$102,'TCO TO BE - HW'!$B$15),)</f>
        <v>0</v>
      </c>
      <c r="I24" s="566">
        <f>IFERROR(SUMIFS('Rozpočet - HW a licencie'!$I$3:$I$102,'Rozpočet - HW a licencie'!$A$3:$A$102,'TCO TO BE - HW'!I$2,'Rozpočet - HW a licencie'!$C$3:$C$102,"HW",'Rozpočet - HW a licencie'!$G$3:$G$102,'TCO TO BE - HW'!$D14,'Rozpočet - HW a licencie'!$D$3:$D$102,'TCO TO BE - HW'!$B$15)+SUMIFS('Rozpočet - HW a licencie'!$I$3:$I$102,'Rozpočet - HW a licencie'!$A$3:$A$102,'TCO TO BE - HW'!I$2,'Rozpočet - HW a licencie'!$C$3:$C$102,"SW pre HW",'Rozpočet - HW a licencie'!$G$3:$G$102,'TCO TO BE - HW'!$D14,'Rozpočet - HW a licencie'!$D$3:$D$102,'TCO TO BE - HW'!$B$15),)</f>
        <v>0</v>
      </c>
      <c r="J24" s="566">
        <f>IFERROR(SUMIFS('Rozpočet - HW a licencie'!$I$3:$I$102,'Rozpočet - HW a licencie'!$A$3:$A$102,'TCO TO BE - HW'!J$2,'Rozpočet - HW a licencie'!$C$3:$C$102,"HW",'Rozpočet - HW a licencie'!$G$3:$G$102,'TCO TO BE - HW'!$D14,'Rozpočet - HW a licencie'!$D$3:$D$102,'TCO TO BE - HW'!$B$15)+SUMIFS('Rozpočet - HW a licencie'!$I$3:$I$102,'Rozpočet - HW a licencie'!$A$3:$A$102,'TCO TO BE - HW'!J$2,'Rozpočet - HW a licencie'!$C$3:$C$102,"SW pre HW",'Rozpočet - HW a licencie'!$G$3:$G$102,'TCO TO BE - HW'!$D14,'Rozpočet - HW a licencie'!$D$3:$D$102,'TCO TO BE - HW'!$B$15),)</f>
        <v>0</v>
      </c>
      <c r="K24" s="566">
        <f>IFERROR(SUMIFS('Rozpočet - HW a licencie'!$I$3:$I$102,'Rozpočet - HW a licencie'!$A$3:$A$102,'TCO TO BE - HW'!K$2,'Rozpočet - HW a licencie'!$C$3:$C$102,"HW",'Rozpočet - HW a licencie'!$G$3:$G$102,'TCO TO BE - HW'!$D14,'Rozpočet - HW a licencie'!$D$3:$D$102,'TCO TO BE - HW'!$B$15)+SUMIFS('Rozpočet - HW a licencie'!$I$3:$I$102,'Rozpočet - HW a licencie'!$A$3:$A$102,'TCO TO BE - HW'!K$2,'Rozpočet - HW a licencie'!$C$3:$C$102,"SW pre HW",'Rozpočet - HW a licencie'!$G$3:$G$102,'TCO TO BE - HW'!$D14,'Rozpočet - HW a licencie'!$D$3:$D$102,'TCO TO BE - HW'!$B$15),)</f>
        <v>0</v>
      </c>
      <c r="L24" s="566">
        <f>IFERROR(SUMIFS('Rozpočet - HW a licencie'!$I$3:$I$102,'Rozpočet - HW a licencie'!$A$3:$A$102,'TCO TO BE - HW'!L$2,'Rozpočet - HW a licencie'!$C$3:$C$102,"HW",'Rozpočet - HW a licencie'!$G$3:$G$102,'TCO TO BE - HW'!$D14,'Rozpočet - HW a licencie'!$D$3:$D$102,'TCO TO BE - HW'!$B$15)+SUMIFS('Rozpočet - HW a licencie'!$I$3:$I$102,'Rozpočet - HW a licencie'!$A$3:$A$102,'TCO TO BE - HW'!L$2,'Rozpočet - HW a licencie'!$C$3:$C$102,"SW pre HW",'Rozpočet - HW a licencie'!$G$3:$G$102,'TCO TO BE - HW'!$D14,'Rozpočet - HW a licencie'!$D$3:$D$102,'TCO TO BE - HW'!$B$15),)</f>
        <v>0</v>
      </c>
      <c r="M24" s="566">
        <f>IFERROR(SUMIFS('Rozpočet - HW a licencie'!$I$3:$I$102,'Rozpočet - HW a licencie'!$A$3:$A$102,'TCO TO BE - HW'!M$2,'Rozpočet - HW a licencie'!$C$3:$C$102,"HW",'Rozpočet - HW a licencie'!$G$3:$G$102,'TCO TO BE - HW'!$D14,'Rozpočet - HW a licencie'!$D$3:$D$102,'TCO TO BE - HW'!$B$15)+SUMIFS('Rozpočet - HW a licencie'!$I$3:$I$102,'Rozpočet - HW a licencie'!$A$3:$A$102,'TCO TO BE - HW'!M$2,'Rozpočet - HW a licencie'!$C$3:$C$102,"SW pre HW",'Rozpočet - HW a licencie'!$G$3:$G$102,'TCO TO BE - HW'!$D14,'Rozpočet - HW a licencie'!$D$3:$D$102,'TCO TO BE - HW'!$B$15),)</f>
        <v>0</v>
      </c>
      <c r="N24" s="566">
        <f>IFERROR(SUMIFS('Rozpočet - HW a licencie'!$I$3:$I$102,'Rozpočet - HW a licencie'!$A$3:$A$102,'TCO TO BE - HW'!N$2,'Rozpočet - HW a licencie'!$C$3:$C$102,"HW",'Rozpočet - HW a licencie'!$G$3:$G$102,'TCO TO BE - HW'!$D14,'Rozpočet - HW a licencie'!$D$3:$D$102,'TCO TO BE - HW'!$B$15)+SUMIFS('Rozpočet - HW a licencie'!$I$3:$I$102,'Rozpočet - HW a licencie'!$A$3:$A$102,'TCO TO BE - HW'!N$2,'Rozpočet - HW a licencie'!$C$3:$C$102,"SW pre HW",'Rozpočet - HW a licencie'!$G$3:$G$102,'TCO TO BE - HW'!$D14,'Rozpočet - HW a licencie'!$D$3:$D$102,'TCO TO BE - HW'!$B$15),)</f>
        <v>0</v>
      </c>
      <c r="O24" s="566">
        <f>IFERROR(SUMIFS('Rozpočet - HW a licencie'!$I$3:$I$102,'Rozpočet - HW a licencie'!$A$3:$A$102,'TCO TO BE - HW'!O$2,'Rozpočet - HW a licencie'!$C$3:$C$102,"HW",'Rozpočet - HW a licencie'!$G$3:$G$102,'TCO TO BE - HW'!$D14,'Rozpočet - HW a licencie'!$D$3:$D$102,'TCO TO BE - HW'!$B$15)+SUMIFS('Rozpočet - HW a licencie'!$I$3:$I$102,'Rozpočet - HW a licencie'!$A$3:$A$102,'TCO TO BE - HW'!O$2,'Rozpočet - HW a licencie'!$C$3:$C$102,"SW pre HW",'Rozpočet - HW a licencie'!$G$3:$G$102,'TCO TO BE - HW'!$D14,'Rozpočet - HW a licencie'!$D$3:$D$102,'TCO TO BE - HW'!$B$15),)</f>
        <v>0</v>
      </c>
      <c r="P24" s="566">
        <f>IFERROR(SUMIFS('Rozpočet - HW a licencie'!$I$3:$I$102,'Rozpočet - HW a licencie'!$A$3:$A$102,'TCO TO BE - HW'!P$2,'Rozpočet - HW a licencie'!$C$3:$C$102,"HW",'Rozpočet - HW a licencie'!$G$3:$G$102,'TCO TO BE - HW'!$D14,'Rozpočet - HW a licencie'!$D$3:$D$102,'TCO TO BE - HW'!$B$15)+SUMIFS('Rozpočet - HW a licencie'!$I$3:$I$102,'Rozpočet - HW a licencie'!$A$3:$A$102,'TCO TO BE - HW'!P$2,'Rozpočet - HW a licencie'!$C$3:$C$102,"SW pre HW",'Rozpočet - HW a licencie'!$G$3:$G$102,'TCO TO BE - HW'!$D14,'Rozpočet - HW a licencie'!$D$3:$D$102,'TCO TO BE - HW'!$B$15),)</f>
        <v>0</v>
      </c>
      <c r="Q24" s="566">
        <f>IFERROR(SUMIFS('Rozpočet - HW a licencie'!$I$3:$I$102,'Rozpočet - HW a licencie'!$A$3:$A$102,'TCO TO BE - HW'!Q$2,'Rozpočet - HW a licencie'!$C$3:$C$102,"HW",'Rozpočet - HW a licencie'!$G$3:$G$102,'TCO TO BE - HW'!$D14,'Rozpočet - HW a licencie'!$D$3:$D$102,'TCO TO BE - HW'!$B$15)+SUMIFS('Rozpočet - HW a licencie'!$I$3:$I$102,'Rozpočet - HW a licencie'!$A$3:$A$102,'TCO TO BE - HW'!Q$2,'Rozpočet - HW a licencie'!$C$3:$C$102,"SW pre HW",'Rozpočet - HW a licencie'!$G$3:$G$102,'TCO TO BE - HW'!$D14,'Rozpočet - HW a licencie'!$D$3:$D$102,'TCO TO BE - HW'!$B$15),)</f>
        <v>0</v>
      </c>
      <c r="R24" s="566">
        <f>IFERROR(SUMIFS('Rozpočet - HW a licencie'!$I$3:$I$102,'Rozpočet - HW a licencie'!$A$3:$A$102,'TCO TO BE - HW'!R$2,'Rozpočet - HW a licencie'!$C$3:$C$102,"HW",'Rozpočet - HW a licencie'!$G$3:$G$102,'TCO TO BE - HW'!$D14,'Rozpočet - HW a licencie'!$D$3:$D$102,'TCO TO BE - HW'!$B$15)+SUMIFS('Rozpočet - HW a licencie'!$I$3:$I$102,'Rozpočet - HW a licencie'!$A$3:$A$102,'TCO TO BE - HW'!R$2,'Rozpočet - HW a licencie'!$C$3:$C$102,"SW pre HW",'Rozpočet - HW a licencie'!$G$3:$G$102,'TCO TO BE - HW'!$D14,'Rozpočet - HW a licencie'!$D$3:$D$102,'TCO TO BE - HW'!$B$15),)</f>
        <v>0</v>
      </c>
      <c r="S24" s="566">
        <f>IFERROR(SUMIFS('Rozpočet - HW a licencie'!$I$3:$I$102,'Rozpočet - HW a licencie'!$A$3:$A$102,'TCO TO BE - HW'!S$2,'Rozpočet - HW a licencie'!$C$3:$C$102,"HW",'Rozpočet - HW a licencie'!$G$3:$G$102,'TCO TO BE - HW'!$D14,'Rozpočet - HW a licencie'!$D$3:$D$102,'TCO TO BE - HW'!$B$15)+SUMIFS('Rozpočet - HW a licencie'!$I$3:$I$102,'Rozpočet - HW a licencie'!$A$3:$A$102,'TCO TO BE - HW'!S$2,'Rozpočet - HW a licencie'!$C$3:$C$102,"SW pre HW",'Rozpočet - HW a licencie'!$G$3:$G$102,'TCO TO BE - HW'!$D14,'Rozpočet - HW a licencie'!$D$3:$D$102,'TCO TO BE - HW'!$B$15),)</f>
        <v>0</v>
      </c>
      <c r="T24" s="566">
        <f>IFERROR(SUMIFS('Rozpočet - HW a licencie'!$I$3:$I$102,'Rozpočet - HW a licencie'!$A$3:$A$102,'TCO TO BE - HW'!T$2,'Rozpočet - HW a licencie'!$C$3:$C$102,"HW",'Rozpočet - HW a licencie'!$G$3:$G$102,'TCO TO BE - HW'!$D14,'Rozpočet - HW a licencie'!$D$3:$D$102,'TCO TO BE - HW'!$B$15)+SUMIFS('Rozpočet - HW a licencie'!$I$3:$I$102,'Rozpočet - HW a licencie'!$A$3:$A$102,'TCO TO BE - HW'!T$2,'Rozpočet - HW a licencie'!$C$3:$C$102,"SW pre HW",'Rozpočet - HW a licencie'!$G$3:$G$102,'TCO TO BE - HW'!$D14,'Rozpočet - HW a licencie'!$D$3:$D$102,'TCO TO BE - HW'!$B$15),)</f>
        <v>0</v>
      </c>
      <c r="U24" s="566">
        <f>IFERROR(SUMIFS('Rozpočet - HW a licencie'!$I$3:$I$102,'Rozpočet - HW a licencie'!$A$3:$A$102,'TCO TO BE - HW'!U$2,'Rozpočet - HW a licencie'!$C$3:$C$102,"HW",'Rozpočet - HW a licencie'!$G$3:$G$102,'TCO TO BE - HW'!$D14,'Rozpočet - HW a licencie'!$D$3:$D$102,'TCO TO BE - HW'!$B$15)+SUMIFS('Rozpočet - HW a licencie'!$I$3:$I$102,'Rozpočet - HW a licencie'!$A$3:$A$102,'TCO TO BE - HW'!U$2,'Rozpočet - HW a licencie'!$C$3:$C$102,"SW pre HW",'Rozpočet - HW a licencie'!$G$3:$G$102,'TCO TO BE - HW'!$D14,'Rozpočet - HW a licencie'!$D$3:$D$102,'TCO TO BE - HW'!$B$15),)</f>
        <v>0</v>
      </c>
      <c r="V24" s="566">
        <f>IFERROR(SUMIFS('Rozpočet - HW a licencie'!$I$3:$I$102,'Rozpočet - HW a licencie'!$A$3:$A$102,'TCO TO BE - HW'!V$2,'Rozpočet - HW a licencie'!$C$3:$C$102,"HW",'Rozpočet - HW a licencie'!$G$3:$G$102,'TCO TO BE - HW'!$D14,'Rozpočet - HW a licencie'!$D$3:$D$102,'TCO TO BE - HW'!$B$15)+SUMIFS('Rozpočet - HW a licencie'!$I$3:$I$102,'Rozpočet - HW a licencie'!$A$3:$A$102,'TCO TO BE - HW'!V$2,'Rozpočet - HW a licencie'!$C$3:$C$102,"SW pre HW",'Rozpočet - HW a licencie'!$G$3:$G$102,'TCO TO BE - HW'!$D14,'Rozpočet - HW a licencie'!$D$3:$D$102,'TCO TO BE - HW'!$B$15),)</f>
        <v>0</v>
      </c>
      <c r="W24" s="566">
        <f>IFERROR(SUMIFS('Rozpočet - HW a licencie'!$I$3:$I$102,'Rozpočet - HW a licencie'!$A$3:$A$102,'TCO TO BE - HW'!W$2,'Rozpočet - HW a licencie'!$C$3:$C$102,"HW",'Rozpočet - HW a licencie'!$G$3:$G$102,'TCO TO BE - HW'!$D14,'Rozpočet - HW a licencie'!$D$3:$D$102,'TCO TO BE - HW'!$B$15)+SUMIFS('Rozpočet - HW a licencie'!$I$3:$I$102,'Rozpočet - HW a licencie'!$A$3:$A$102,'TCO TO BE - HW'!W$2,'Rozpočet - HW a licencie'!$C$3:$C$102,"SW pre HW",'Rozpočet - HW a licencie'!$G$3:$G$102,'TCO TO BE - HW'!$D14,'Rozpočet - HW a licencie'!$D$3:$D$102,'TCO TO BE - HW'!$B$15),)</f>
        <v>0</v>
      </c>
      <c r="X24" s="566">
        <f>IFERROR(SUMIFS('Rozpočet - HW a licencie'!$I$3:$I$102,'Rozpočet - HW a licencie'!$A$3:$A$102,'TCO TO BE - HW'!X$2,'Rozpočet - HW a licencie'!$C$3:$C$102,"HW",'Rozpočet - HW a licencie'!$G$3:$G$102,'TCO TO BE - HW'!$D14,'Rozpočet - HW a licencie'!$D$3:$D$102,'TCO TO BE - HW'!$B$15)+SUMIFS('Rozpočet - HW a licencie'!$I$3:$I$102,'Rozpočet - HW a licencie'!$A$3:$A$102,'TCO TO BE - HW'!X$2,'Rozpočet - HW a licencie'!$C$3:$C$102,"SW pre HW",'Rozpočet - HW a licencie'!$G$3:$G$102,'TCO TO BE - HW'!$D14,'Rozpočet - HW a licencie'!$D$3:$D$102,'TCO TO BE - HW'!$B$15),)</f>
        <v>0</v>
      </c>
      <c r="Y24" s="566">
        <f>IFERROR(SUMIFS('Rozpočet - HW a licencie'!$I$3:$I$102,'Rozpočet - HW a licencie'!$A$3:$A$102,'TCO TO BE - HW'!Y$2,'Rozpočet - HW a licencie'!$C$3:$C$102,"HW",'Rozpočet - HW a licencie'!$G$3:$G$102,'TCO TO BE - HW'!$D14,'Rozpočet - HW a licencie'!$D$3:$D$102,'TCO TO BE - HW'!$B$15)+SUMIFS('Rozpočet - HW a licencie'!$I$3:$I$102,'Rozpočet - HW a licencie'!$A$3:$A$102,'TCO TO BE - HW'!Y$2,'Rozpočet - HW a licencie'!$C$3:$C$102,"SW pre HW",'Rozpočet - HW a licencie'!$G$3:$G$102,'TCO TO BE - HW'!$D14,'Rozpočet - HW a licencie'!$D$3:$D$102,'TCO TO BE - HW'!$B$15),)</f>
        <v>0</v>
      </c>
      <c r="Z24" s="566">
        <f>IFERROR(SUMIFS('Rozpočet - HW a licencie'!$I$3:$I$102,'Rozpočet - HW a licencie'!$A$3:$A$102,'TCO TO BE - HW'!Z$2,'Rozpočet - HW a licencie'!$C$3:$C$102,"HW",'Rozpočet - HW a licencie'!$G$3:$G$102,'TCO TO BE - HW'!$D14,'Rozpočet - HW a licencie'!$D$3:$D$102,'TCO TO BE - HW'!$B$15)+SUMIFS('Rozpočet - HW a licencie'!$I$3:$I$102,'Rozpočet - HW a licencie'!$A$3:$A$102,'TCO TO BE - HW'!Z$2,'Rozpočet - HW a licencie'!$C$3:$C$102,"SW pre HW",'Rozpočet - HW a licencie'!$G$3:$G$102,'TCO TO BE - HW'!$D14,'Rozpočet - HW a licencie'!$D$3:$D$102,'TCO TO BE - HW'!$B$15),)</f>
        <v>0</v>
      </c>
    </row>
    <row r="25" spans="1:26" outlineLevel="1">
      <c r="A25" s="807" t="s">
        <v>420</v>
      </c>
      <c r="B25" s="808" t="s">
        <v>78</v>
      </c>
      <c r="C25" s="808">
        <v>637040</v>
      </c>
      <c r="D25" s="486">
        <v>1</v>
      </c>
      <c r="E25" s="68">
        <f t="shared" ref="E25:E34" si="3">SUM(F25:Z25)</f>
        <v>0</v>
      </c>
      <c r="F25" s="567">
        <v>0</v>
      </c>
      <c r="G25" s="567">
        <v>0</v>
      </c>
      <c r="H25" s="567">
        <v>0</v>
      </c>
      <c r="I25" s="567">
        <v>0</v>
      </c>
      <c r="J25" s="567">
        <v>0</v>
      </c>
      <c r="K25" s="567">
        <v>0</v>
      </c>
      <c r="L25" s="567">
        <v>0</v>
      </c>
      <c r="M25" s="567">
        <v>0</v>
      </c>
      <c r="N25" s="567">
        <v>0</v>
      </c>
      <c r="O25" s="567">
        <v>0</v>
      </c>
      <c r="P25" s="567">
        <v>0</v>
      </c>
      <c r="Q25" s="567">
        <v>0</v>
      </c>
      <c r="R25" s="567">
        <v>0</v>
      </c>
      <c r="S25" s="567">
        <v>0</v>
      </c>
      <c r="T25" s="567">
        <v>0</v>
      </c>
      <c r="U25" s="567">
        <v>0</v>
      </c>
      <c r="V25" s="567">
        <v>0</v>
      </c>
      <c r="W25" s="567">
        <v>0</v>
      </c>
      <c r="X25" s="567">
        <v>0</v>
      </c>
      <c r="Y25" s="567">
        <v>0</v>
      </c>
      <c r="Z25" s="567">
        <v>0</v>
      </c>
    </row>
    <row r="26" spans="1:26" outlineLevel="1">
      <c r="A26" s="807"/>
      <c r="B26" s="808"/>
      <c r="C26" s="808"/>
      <c r="D26" s="487">
        <v>2</v>
      </c>
      <c r="E26" s="68">
        <f t="shared" si="3"/>
        <v>0</v>
      </c>
      <c r="F26" s="568">
        <v>0</v>
      </c>
      <c r="G26" s="568">
        <v>0</v>
      </c>
      <c r="H26" s="568">
        <v>0</v>
      </c>
      <c r="I26" s="568">
        <v>0</v>
      </c>
      <c r="J26" s="568">
        <v>0</v>
      </c>
      <c r="K26" s="568">
        <v>0</v>
      </c>
      <c r="L26" s="568">
        <v>0</v>
      </c>
      <c r="M26" s="568">
        <v>0</v>
      </c>
      <c r="N26" s="568">
        <v>0</v>
      </c>
      <c r="O26" s="568">
        <v>0</v>
      </c>
      <c r="P26" s="568">
        <v>0</v>
      </c>
      <c r="Q26" s="568">
        <v>0</v>
      </c>
      <c r="R26" s="568">
        <v>0</v>
      </c>
      <c r="S26" s="568">
        <v>0</v>
      </c>
      <c r="T26" s="568">
        <v>0</v>
      </c>
      <c r="U26" s="568">
        <v>0</v>
      </c>
      <c r="V26" s="568">
        <v>0</v>
      </c>
      <c r="W26" s="568">
        <v>0</v>
      </c>
      <c r="X26" s="568">
        <v>0</v>
      </c>
      <c r="Y26" s="568">
        <v>0</v>
      </c>
      <c r="Z26" s="568">
        <v>0</v>
      </c>
    </row>
    <row r="27" spans="1:26" outlineLevel="1">
      <c r="A27" s="807"/>
      <c r="B27" s="808"/>
      <c r="C27" s="808"/>
      <c r="D27" s="487">
        <v>3</v>
      </c>
      <c r="E27" s="68">
        <f t="shared" si="3"/>
        <v>0</v>
      </c>
      <c r="F27" s="568">
        <v>0</v>
      </c>
      <c r="G27" s="568">
        <v>0</v>
      </c>
      <c r="H27" s="568">
        <v>0</v>
      </c>
      <c r="I27" s="568">
        <v>0</v>
      </c>
      <c r="J27" s="568">
        <v>0</v>
      </c>
      <c r="K27" s="568">
        <v>0</v>
      </c>
      <c r="L27" s="568">
        <v>0</v>
      </c>
      <c r="M27" s="568">
        <v>0</v>
      </c>
      <c r="N27" s="568">
        <v>0</v>
      </c>
      <c r="O27" s="568">
        <v>0</v>
      </c>
      <c r="P27" s="568">
        <v>0</v>
      </c>
      <c r="Q27" s="568">
        <v>0</v>
      </c>
      <c r="R27" s="568">
        <v>0</v>
      </c>
      <c r="S27" s="568">
        <v>0</v>
      </c>
      <c r="T27" s="568">
        <v>0</v>
      </c>
      <c r="U27" s="568">
        <v>0</v>
      </c>
      <c r="V27" s="568">
        <v>0</v>
      </c>
      <c r="W27" s="568">
        <v>0</v>
      </c>
      <c r="X27" s="568">
        <v>0</v>
      </c>
      <c r="Y27" s="568">
        <v>0</v>
      </c>
      <c r="Z27" s="568">
        <v>0</v>
      </c>
    </row>
    <row r="28" spans="1:26" outlineLevel="1">
      <c r="A28" s="807"/>
      <c r="B28" s="808"/>
      <c r="C28" s="808"/>
      <c r="D28" s="487">
        <v>4</v>
      </c>
      <c r="E28" s="68">
        <f t="shared" si="3"/>
        <v>0</v>
      </c>
      <c r="F28" s="568">
        <v>0</v>
      </c>
      <c r="G28" s="568">
        <v>0</v>
      </c>
      <c r="H28" s="568">
        <v>0</v>
      </c>
      <c r="I28" s="568">
        <v>0</v>
      </c>
      <c r="J28" s="568">
        <v>0</v>
      </c>
      <c r="K28" s="568">
        <v>0</v>
      </c>
      <c r="L28" s="568">
        <v>0</v>
      </c>
      <c r="M28" s="568">
        <v>0</v>
      </c>
      <c r="N28" s="568">
        <v>0</v>
      </c>
      <c r="O28" s="568">
        <v>0</v>
      </c>
      <c r="P28" s="568">
        <v>0</v>
      </c>
      <c r="Q28" s="568">
        <v>0</v>
      </c>
      <c r="R28" s="568">
        <v>0</v>
      </c>
      <c r="S28" s="568">
        <v>0</v>
      </c>
      <c r="T28" s="568">
        <v>0</v>
      </c>
      <c r="U28" s="568">
        <v>0</v>
      </c>
      <c r="V28" s="568">
        <v>0</v>
      </c>
      <c r="W28" s="568">
        <v>0</v>
      </c>
      <c r="X28" s="568">
        <v>0</v>
      </c>
      <c r="Y28" s="568">
        <v>0</v>
      </c>
      <c r="Z28" s="568">
        <v>0</v>
      </c>
    </row>
    <row r="29" spans="1:26" outlineLevel="1">
      <c r="A29" s="807"/>
      <c r="B29" s="808"/>
      <c r="C29" s="808"/>
      <c r="D29" s="487">
        <v>5</v>
      </c>
      <c r="E29" s="68">
        <f t="shared" si="3"/>
        <v>0</v>
      </c>
      <c r="F29" s="568">
        <v>0</v>
      </c>
      <c r="G29" s="568">
        <v>0</v>
      </c>
      <c r="H29" s="568">
        <v>0</v>
      </c>
      <c r="I29" s="568">
        <v>0</v>
      </c>
      <c r="J29" s="568">
        <v>0</v>
      </c>
      <c r="K29" s="568">
        <v>0</v>
      </c>
      <c r="L29" s="568">
        <v>0</v>
      </c>
      <c r="M29" s="568">
        <v>0</v>
      </c>
      <c r="N29" s="568">
        <v>0</v>
      </c>
      <c r="O29" s="568">
        <v>0</v>
      </c>
      <c r="P29" s="568">
        <v>0</v>
      </c>
      <c r="Q29" s="568">
        <v>0</v>
      </c>
      <c r="R29" s="568">
        <v>0</v>
      </c>
      <c r="S29" s="568">
        <v>0</v>
      </c>
      <c r="T29" s="568">
        <v>0</v>
      </c>
      <c r="U29" s="568">
        <v>0</v>
      </c>
      <c r="V29" s="568">
        <v>0</v>
      </c>
      <c r="W29" s="568">
        <v>0</v>
      </c>
      <c r="X29" s="568">
        <v>0</v>
      </c>
      <c r="Y29" s="568">
        <v>0</v>
      </c>
      <c r="Z29" s="568">
        <v>0</v>
      </c>
    </row>
    <row r="30" spans="1:26" outlineLevel="1">
      <c r="A30" s="807"/>
      <c r="B30" s="808"/>
      <c r="C30" s="808"/>
      <c r="D30" s="487">
        <v>6</v>
      </c>
      <c r="E30" s="68">
        <f t="shared" si="3"/>
        <v>0</v>
      </c>
      <c r="F30" s="568">
        <v>0</v>
      </c>
      <c r="G30" s="568">
        <v>0</v>
      </c>
      <c r="H30" s="568">
        <v>0</v>
      </c>
      <c r="I30" s="568">
        <v>0</v>
      </c>
      <c r="J30" s="568">
        <v>0</v>
      </c>
      <c r="K30" s="568">
        <v>0</v>
      </c>
      <c r="L30" s="568">
        <v>0</v>
      </c>
      <c r="M30" s="568">
        <v>0</v>
      </c>
      <c r="N30" s="568">
        <v>0</v>
      </c>
      <c r="O30" s="568">
        <v>0</v>
      </c>
      <c r="P30" s="568">
        <v>0</v>
      </c>
      <c r="Q30" s="568">
        <v>0</v>
      </c>
      <c r="R30" s="568">
        <v>0</v>
      </c>
      <c r="S30" s="568">
        <v>0</v>
      </c>
      <c r="T30" s="568">
        <v>0</v>
      </c>
      <c r="U30" s="568">
        <v>0</v>
      </c>
      <c r="V30" s="568">
        <v>0</v>
      </c>
      <c r="W30" s="568">
        <v>0</v>
      </c>
      <c r="X30" s="568">
        <v>0</v>
      </c>
      <c r="Y30" s="568">
        <v>0</v>
      </c>
      <c r="Z30" s="568">
        <v>0</v>
      </c>
    </row>
    <row r="31" spans="1:26" outlineLevel="1">
      <c r="A31" s="807"/>
      <c r="B31" s="808"/>
      <c r="C31" s="808"/>
      <c r="D31" s="487">
        <v>7</v>
      </c>
      <c r="E31" s="68">
        <f t="shared" si="3"/>
        <v>0</v>
      </c>
      <c r="F31" s="568">
        <v>0</v>
      </c>
      <c r="G31" s="568">
        <v>0</v>
      </c>
      <c r="H31" s="568">
        <v>0</v>
      </c>
      <c r="I31" s="568">
        <v>0</v>
      </c>
      <c r="J31" s="568">
        <v>0</v>
      </c>
      <c r="K31" s="568">
        <v>0</v>
      </c>
      <c r="L31" s="568">
        <v>0</v>
      </c>
      <c r="M31" s="568">
        <v>0</v>
      </c>
      <c r="N31" s="568">
        <v>0</v>
      </c>
      <c r="O31" s="568">
        <v>0</v>
      </c>
      <c r="P31" s="568">
        <v>0</v>
      </c>
      <c r="Q31" s="568">
        <v>0</v>
      </c>
      <c r="R31" s="568">
        <v>0</v>
      </c>
      <c r="S31" s="568">
        <v>0</v>
      </c>
      <c r="T31" s="568">
        <v>0</v>
      </c>
      <c r="U31" s="568">
        <v>0</v>
      </c>
      <c r="V31" s="568">
        <v>0</v>
      </c>
      <c r="W31" s="568">
        <v>0</v>
      </c>
      <c r="X31" s="568">
        <v>0</v>
      </c>
      <c r="Y31" s="568">
        <v>0</v>
      </c>
      <c r="Z31" s="568">
        <v>0</v>
      </c>
    </row>
    <row r="32" spans="1:26" outlineLevel="1">
      <c r="A32" s="807"/>
      <c r="B32" s="808"/>
      <c r="C32" s="808"/>
      <c r="D32" s="487">
        <v>8</v>
      </c>
      <c r="E32" s="68">
        <f t="shared" si="3"/>
        <v>0</v>
      </c>
      <c r="F32" s="568">
        <v>0</v>
      </c>
      <c r="G32" s="568">
        <v>0</v>
      </c>
      <c r="H32" s="568">
        <v>0</v>
      </c>
      <c r="I32" s="568">
        <v>0</v>
      </c>
      <c r="J32" s="568">
        <v>0</v>
      </c>
      <c r="K32" s="568">
        <v>0</v>
      </c>
      <c r="L32" s="568">
        <v>0</v>
      </c>
      <c r="M32" s="568">
        <v>0</v>
      </c>
      <c r="N32" s="568">
        <v>0</v>
      </c>
      <c r="O32" s="568">
        <v>0</v>
      </c>
      <c r="P32" s="568">
        <v>0</v>
      </c>
      <c r="Q32" s="568">
        <v>0</v>
      </c>
      <c r="R32" s="568">
        <v>0</v>
      </c>
      <c r="S32" s="568">
        <v>0</v>
      </c>
      <c r="T32" s="568">
        <v>0</v>
      </c>
      <c r="U32" s="568">
        <v>0</v>
      </c>
      <c r="V32" s="568">
        <v>0</v>
      </c>
      <c r="W32" s="568">
        <v>0</v>
      </c>
      <c r="X32" s="568">
        <v>0</v>
      </c>
      <c r="Y32" s="568">
        <v>0</v>
      </c>
      <c r="Z32" s="568">
        <v>0</v>
      </c>
    </row>
    <row r="33" spans="1:26" outlineLevel="1">
      <c r="A33" s="807"/>
      <c r="B33" s="808"/>
      <c r="C33" s="808"/>
      <c r="D33" s="487">
        <v>9</v>
      </c>
      <c r="E33" s="68">
        <f t="shared" si="3"/>
        <v>0</v>
      </c>
      <c r="F33" s="568">
        <v>0</v>
      </c>
      <c r="G33" s="568">
        <v>0</v>
      </c>
      <c r="H33" s="568">
        <v>0</v>
      </c>
      <c r="I33" s="568">
        <v>0</v>
      </c>
      <c r="J33" s="568">
        <v>0</v>
      </c>
      <c r="K33" s="568">
        <v>0</v>
      </c>
      <c r="L33" s="568">
        <v>0</v>
      </c>
      <c r="M33" s="568">
        <v>0</v>
      </c>
      <c r="N33" s="568">
        <v>0</v>
      </c>
      <c r="O33" s="568">
        <v>0</v>
      </c>
      <c r="P33" s="568">
        <v>0</v>
      </c>
      <c r="Q33" s="568">
        <v>0</v>
      </c>
      <c r="R33" s="568">
        <v>0</v>
      </c>
      <c r="S33" s="568">
        <v>0</v>
      </c>
      <c r="T33" s="568">
        <v>0</v>
      </c>
      <c r="U33" s="568">
        <v>0</v>
      </c>
      <c r="V33" s="568">
        <v>0</v>
      </c>
      <c r="W33" s="568">
        <v>0</v>
      </c>
      <c r="X33" s="568">
        <v>0</v>
      </c>
      <c r="Y33" s="568">
        <v>0</v>
      </c>
      <c r="Z33" s="568">
        <v>0</v>
      </c>
    </row>
    <row r="34" spans="1:26" ht="15.75" outlineLevel="1" thickBot="1">
      <c r="A34" s="807"/>
      <c r="B34" s="808"/>
      <c r="C34" s="808"/>
      <c r="D34" s="488">
        <v>10</v>
      </c>
      <c r="E34" s="69">
        <f t="shared" si="3"/>
        <v>0</v>
      </c>
      <c r="F34" s="572">
        <v>0</v>
      </c>
      <c r="G34" s="572">
        <v>0</v>
      </c>
      <c r="H34" s="572">
        <v>0</v>
      </c>
      <c r="I34" s="572">
        <v>0</v>
      </c>
      <c r="J34" s="572">
        <v>0</v>
      </c>
      <c r="K34" s="572">
        <v>0</v>
      </c>
      <c r="L34" s="572">
        <v>0</v>
      </c>
      <c r="M34" s="572">
        <v>0</v>
      </c>
      <c r="N34" s="572">
        <v>0</v>
      </c>
      <c r="O34" s="572">
        <v>0</v>
      </c>
      <c r="P34" s="572">
        <v>0</v>
      </c>
      <c r="Q34" s="572">
        <v>0</v>
      </c>
      <c r="R34" s="572">
        <v>0</v>
      </c>
      <c r="S34" s="572">
        <v>0</v>
      </c>
      <c r="T34" s="572">
        <v>0</v>
      </c>
      <c r="U34" s="572">
        <v>0</v>
      </c>
      <c r="V34" s="572">
        <v>0</v>
      </c>
      <c r="W34" s="572">
        <v>0</v>
      </c>
      <c r="X34" s="572">
        <v>0</v>
      </c>
      <c r="Y34" s="572">
        <v>0</v>
      </c>
      <c r="Z34" s="572">
        <v>0</v>
      </c>
    </row>
    <row r="35" spans="1:26" outlineLevel="1">
      <c r="A35" s="807" t="s">
        <v>420</v>
      </c>
      <c r="B35" s="808" t="s">
        <v>528</v>
      </c>
      <c r="C35" s="808">
        <v>637040</v>
      </c>
      <c r="D35" s="486">
        <v>1</v>
      </c>
      <c r="E35" s="68">
        <f t="shared" ref="E35:E44" si="4">SUM(F35:Z35)</f>
        <v>0</v>
      </c>
      <c r="F35" s="567">
        <v>0</v>
      </c>
      <c r="G35" s="567">
        <v>0</v>
      </c>
      <c r="H35" s="567">
        <v>0</v>
      </c>
      <c r="I35" s="567">
        <v>0</v>
      </c>
      <c r="J35" s="567">
        <v>0</v>
      </c>
      <c r="K35" s="567">
        <v>0</v>
      </c>
      <c r="L35" s="567">
        <v>0</v>
      </c>
      <c r="M35" s="567">
        <v>0</v>
      </c>
      <c r="N35" s="567">
        <v>0</v>
      </c>
      <c r="O35" s="567">
        <v>0</v>
      </c>
      <c r="P35" s="567">
        <v>0</v>
      </c>
      <c r="Q35" s="567">
        <v>0</v>
      </c>
      <c r="R35" s="567">
        <v>0</v>
      </c>
      <c r="S35" s="567">
        <v>0</v>
      </c>
      <c r="T35" s="567">
        <v>0</v>
      </c>
      <c r="U35" s="567">
        <v>0</v>
      </c>
      <c r="V35" s="567">
        <v>0</v>
      </c>
      <c r="W35" s="567">
        <v>0</v>
      </c>
      <c r="X35" s="567">
        <v>0</v>
      </c>
      <c r="Y35" s="567">
        <v>0</v>
      </c>
      <c r="Z35" s="567">
        <v>0</v>
      </c>
    </row>
    <row r="36" spans="1:26" outlineLevel="1">
      <c r="A36" s="807"/>
      <c r="B36" s="808"/>
      <c r="C36" s="808"/>
      <c r="D36" s="487">
        <v>2</v>
      </c>
      <c r="E36" s="68">
        <f t="shared" si="4"/>
        <v>0</v>
      </c>
      <c r="F36" s="568">
        <v>0</v>
      </c>
      <c r="G36" s="568">
        <v>0</v>
      </c>
      <c r="H36" s="568">
        <v>0</v>
      </c>
      <c r="I36" s="568">
        <v>0</v>
      </c>
      <c r="J36" s="568">
        <v>0</v>
      </c>
      <c r="K36" s="568">
        <v>0</v>
      </c>
      <c r="L36" s="568">
        <v>0</v>
      </c>
      <c r="M36" s="568">
        <v>0</v>
      </c>
      <c r="N36" s="568">
        <v>0</v>
      </c>
      <c r="O36" s="568">
        <v>0</v>
      </c>
      <c r="P36" s="568">
        <v>0</v>
      </c>
      <c r="Q36" s="568">
        <v>0</v>
      </c>
      <c r="R36" s="568">
        <v>0</v>
      </c>
      <c r="S36" s="568">
        <v>0</v>
      </c>
      <c r="T36" s="568">
        <v>0</v>
      </c>
      <c r="U36" s="568">
        <v>0</v>
      </c>
      <c r="V36" s="568">
        <v>0</v>
      </c>
      <c r="W36" s="568">
        <v>0</v>
      </c>
      <c r="X36" s="568">
        <v>0</v>
      </c>
      <c r="Y36" s="568">
        <v>0</v>
      </c>
      <c r="Z36" s="568">
        <v>0</v>
      </c>
    </row>
    <row r="37" spans="1:26" outlineLevel="1">
      <c r="A37" s="807"/>
      <c r="B37" s="808"/>
      <c r="C37" s="808"/>
      <c r="D37" s="487">
        <v>3</v>
      </c>
      <c r="E37" s="68">
        <f t="shared" si="4"/>
        <v>0</v>
      </c>
      <c r="F37" s="568">
        <v>0</v>
      </c>
      <c r="G37" s="568">
        <v>0</v>
      </c>
      <c r="H37" s="568">
        <v>0</v>
      </c>
      <c r="I37" s="568">
        <v>0</v>
      </c>
      <c r="J37" s="568">
        <v>0</v>
      </c>
      <c r="K37" s="568">
        <v>0</v>
      </c>
      <c r="L37" s="568">
        <v>0</v>
      </c>
      <c r="M37" s="568">
        <v>0</v>
      </c>
      <c r="N37" s="568">
        <v>0</v>
      </c>
      <c r="O37" s="568">
        <v>0</v>
      </c>
      <c r="P37" s="568">
        <v>0</v>
      </c>
      <c r="Q37" s="568">
        <v>0</v>
      </c>
      <c r="R37" s="568">
        <v>0</v>
      </c>
      <c r="S37" s="568">
        <v>0</v>
      </c>
      <c r="T37" s="568">
        <v>0</v>
      </c>
      <c r="U37" s="568">
        <v>0</v>
      </c>
      <c r="V37" s="568">
        <v>0</v>
      </c>
      <c r="W37" s="568">
        <v>0</v>
      </c>
      <c r="X37" s="568">
        <v>0</v>
      </c>
      <c r="Y37" s="568">
        <v>0</v>
      </c>
      <c r="Z37" s="568">
        <v>0</v>
      </c>
    </row>
    <row r="38" spans="1:26" outlineLevel="1">
      <c r="A38" s="807"/>
      <c r="B38" s="808"/>
      <c r="C38" s="808"/>
      <c r="D38" s="487">
        <v>4</v>
      </c>
      <c r="E38" s="68">
        <f t="shared" si="4"/>
        <v>0</v>
      </c>
      <c r="F38" s="568">
        <v>0</v>
      </c>
      <c r="G38" s="568">
        <v>0</v>
      </c>
      <c r="H38" s="568">
        <v>0</v>
      </c>
      <c r="I38" s="568">
        <v>0</v>
      </c>
      <c r="J38" s="568">
        <v>0</v>
      </c>
      <c r="K38" s="568">
        <v>0</v>
      </c>
      <c r="L38" s="568">
        <v>0</v>
      </c>
      <c r="M38" s="568">
        <v>0</v>
      </c>
      <c r="N38" s="568">
        <v>0</v>
      </c>
      <c r="O38" s="568">
        <v>0</v>
      </c>
      <c r="P38" s="568">
        <v>0</v>
      </c>
      <c r="Q38" s="568">
        <v>0</v>
      </c>
      <c r="R38" s="568">
        <v>0</v>
      </c>
      <c r="S38" s="568">
        <v>0</v>
      </c>
      <c r="T38" s="568">
        <v>0</v>
      </c>
      <c r="U38" s="568">
        <v>0</v>
      </c>
      <c r="V38" s="568">
        <v>0</v>
      </c>
      <c r="W38" s="568">
        <v>0</v>
      </c>
      <c r="X38" s="568">
        <v>0</v>
      </c>
      <c r="Y38" s="568">
        <v>0</v>
      </c>
      <c r="Z38" s="568">
        <v>0</v>
      </c>
    </row>
    <row r="39" spans="1:26" outlineLevel="1">
      <c r="A39" s="807"/>
      <c r="B39" s="808"/>
      <c r="C39" s="808"/>
      <c r="D39" s="487">
        <v>5</v>
      </c>
      <c r="E39" s="68">
        <f t="shared" si="4"/>
        <v>0</v>
      </c>
      <c r="F39" s="568">
        <v>0</v>
      </c>
      <c r="G39" s="568">
        <v>0</v>
      </c>
      <c r="H39" s="568">
        <v>0</v>
      </c>
      <c r="I39" s="568">
        <v>0</v>
      </c>
      <c r="J39" s="568">
        <v>0</v>
      </c>
      <c r="K39" s="568">
        <v>0</v>
      </c>
      <c r="L39" s="568">
        <v>0</v>
      </c>
      <c r="M39" s="568">
        <v>0</v>
      </c>
      <c r="N39" s="568">
        <v>0</v>
      </c>
      <c r="O39" s="568">
        <v>0</v>
      </c>
      <c r="P39" s="568">
        <v>0</v>
      </c>
      <c r="Q39" s="568">
        <v>0</v>
      </c>
      <c r="R39" s="568">
        <v>0</v>
      </c>
      <c r="S39" s="568">
        <v>0</v>
      </c>
      <c r="T39" s="568">
        <v>0</v>
      </c>
      <c r="U39" s="568">
        <v>0</v>
      </c>
      <c r="V39" s="568">
        <v>0</v>
      </c>
      <c r="W39" s="568">
        <v>0</v>
      </c>
      <c r="X39" s="568">
        <v>0</v>
      </c>
      <c r="Y39" s="568">
        <v>0</v>
      </c>
      <c r="Z39" s="568">
        <v>0</v>
      </c>
    </row>
    <row r="40" spans="1:26" outlineLevel="1">
      <c r="A40" s="807"/>
      <c r="B40" s="808"/>
      <c r="C40" s="808"/>
      <c r="D40" s="487">
        <v>6</v>
      </c>
      <c r="E40" s="68">
        <f t="shared" si="4"/>
        <v>0</v>
      </c>
      <c r="F40" s="568">
        <v>0</v>
      </c>
      <c r="G40" s="568">
        <v>0</v>
      </c>
      <c r="H40" s="568">
        <v>0</v>
      </c>
      <c r="I40" s="568">
        <v>0</v>
      </c>
      <c r="J40" s="568">
        <v>0</v>
      </c>
      <c r="K40" s="568">
        <v>0</v>
      </c>
      <c r="L40" s="568">
        <v>0</v>
      </c>
      <c r="M40" s="568">
        <v>0</v>
      </c>
      <c r="N40" s="568">
        <v>0</v>
      </c>
      <c r="O40" s="568">
        <v>0</v>
      </c>
      <c r="P40" s="568">
        <v>0</v>
      </c>
      <c r="Q40" s="568">
        <v>0</v>
      </c>
      <c r="R40" s="568">
        <v>0</v>
      </c>
      <c r="S40" s="568">
        <v>0</v>
      </c>
      <c r="T40" s="568">
        <v>0</v>
      </c>
      <c r="U40" s="568">
        <v>0</v>
      </c>
      <c r="V40" s="568">
        <v>0</v>
      </c>
      <c r="W40" s="568">
        <v>0</v>
      </c>
      <c r="X40" s="568">
        <v>0</v>
      </c>
      <c r="Y40" s="568">
        <v>0</v>
      </c>
      <c r="Z40" s="568">
        <v>0</v>
      </c>
    </row>
    <row r="41" spans="1:26" outlineLevel="1">
      <c r="A41" s="807"/>
      <c r="B41" s="808"/>
      <c r="C41" s="808"/>
      <c r="D41" s="487">
        <v>7</v>
      </c>
      <c r="E41" s="68">
        <f t="shared" si="4"/>
        <v>0</v>
      </c>
      <c r="F41" s="568">
        <v>0</v>
      </c>
      <c r="G41" s="568">
        <v>0</v>
      </c>
      <c r="H41" s="568">
        <v>0</v>
      </c>
      <c r="I41" s="568">
        <v>0</v>
      </c>
      <c r="J41" s="568">
        <v>0</v>
      </c>
      <c r="K41" s="568">
        <v>0</v>
      </c>
      <c r="L41" s="568">
        <v>0</v>
      </c>
      <c r="M41" s="568">
        <v>0</v>
      </c>
      <c r="N41" s="568">
        <v>0</v>
      </c>
      <c r="O41" s="568">
        <v>0</v>
      </c>
      <c r="P41" s="568">
        <v>0</v>
      </c>
      <c r="Q41" s="568">
        <v>0</v>
      </c>
      <c r="R41" s="568">
        <v>0</v>
      </c>
      <c r="S41" s="568">
        <v>0</v>
      </c>
      <c r="T41" s="568">
        <v>0</v>
      </c>
      <c r="U41" s="568">
        <v>0</v>
      </c>
      <c r="V41" s="568">
        <v>0</v>
      </c>
      <c r="W41" s="568">
        <v>0</v>
      </c>
      <c r="X41" s="568">
        <v>0</v>
      </c>
      <c r="Y41" s="568">
        <v>0</v>
      </c>
      <c r="Z41" s="568">
        <v>0</v>
      </c>
    </row>
    <row r="42" spans="1:26" outlineLevel="1">
      <c r="A42" s="807"/>
      <c r="B42" s="808"/>
      <c r="C42" s="808"/>
      <c r="D42" s="487">
        <v>8</v>
      </c>
      <c r="E42" s="68">
        <f t="shared" si="4"/>
        <v>0</v>
      </c>
      <c r="F42" s="568">
        <v>0</v>
      </c>
      <c r="G42" s="568">
        <v>0</v>
      </c>
      <c r="H42" s="568">
        <v>0</v>
      </c>
      <c r="I42" s="568">
        <v>0</v>
      </c>
      <c r="J42" s="568">
        <v>0</v>
      </c>
      <c r="K42" s="568">
        <v>0</v>
      </c>
      <c r="L42" s="568">
        <v>0</v>
      </c>
      <c r="M42" s="568">
        <v>0</v>
      </c>
      <c r="N42" s="568">
        <v>0</v>
      </c>
      <c r="O42" s="568">
        <v>0</v>
      </c>
      <c r="P42" s="568">
        <v>0</v>
      </c>
      <c r="Q42" s="568">
        <v>0</v>
      </c>
      <c r="R42" s="568">
        <v>0</v>
      </c>
      <c r="S42" s="568">
        <v>0</v>
      </c>
      <c r="T42" s="568">
        <v>0</v>
      </c>
      <c r="U42" s="568">
        <v>0</v>
      </c>
      <c r="V42" s="568">
        <v>0</v>
      </c>
      <c r="W42" s="568">
        <v>0</v>
      </c>
      <c r="X42" s="568">
        <v>0</v>
      </c>
      <c r="Y42" s="568">
        <v>0</v>
      </c>
      <c r="Z42" s="568">
        <v>0</v>
      </c>
    </row>
    <row r="43" spans="1:26" outlineLevel="1">
      <c r="A43" s="807"/>
      <c r="B43" s="808"/>
      <c r="C43" s="808"/>
      <c r="D43" s="487">
        <v>9</v>
      </c>
      <c r="E43" s="68">
        <f t="shared" si="4"/>
        <v>0</v>
      </c>
      <c r="F43" s="568">
        <v>0</v>
      </c>
      <c r="G43" s="568">
        <v>0</v>
      </c>
      <c r="H43" s="568">
        <v>0</v>
      </c>
      <c r="I43" s="568">
        <v>0</v>
      </c>
      <c r="J43" s="568">
        <v>0</v>
      </c>
      <c r="K43" s="568">
        <v>0</v>
      </c>
      <c r="L43" s="568">
        <v>0</v>
      </c>
      <c r="M43" s="568">
        <v>0</v>
      </c>
      <c r="N43" s="568">
        <v>0</v>
      </c>
      <c r="O43" s="568">
        <v>0</v>
      </c>
      <c r="P43" s="568">
        <v>0</v>
      </c>
      <c r="Q43" s="568">
        <v>0</v>
      </c>
      <c r="R43" s="568">
        <v>0</v>
      </c>
      <c r="S43" s="568">
        <v>0</v>
      </c>
      <c r="T43" s="568">
        <v>0</v>
      </c>
      <c r="U43" s="568">
        <v>0</v>
      </c>
      <c r="V43" s="568">
        <v>0</v>
      </c>
      <c r="W43" s="568">
        <v>0</v>
      </c>
      <c r="X43" s="568">
        <v>0</v>
      </c>
      <c r="Y43" s="568">
        <v>0</v>
      </c>
      <c r="Z43" s="568">
        <v>0</v>
      </c>
    </row>
    <row r="44" spans="1:26" ht="15.75" outlineLevel="1" thickBot="1">
      <c r="A44" s="807"/>
      <c r="B44" s="808"/>
      <c r="C44" s="808"/>
      <c r="D44" s="488">
        <v>10</v>
      </c>
      <c r="E44" s="69">
        <f t="shared" si="4"/>
        <v>0</v>
      </c>
      <c r="F44" s="572">
        <v>0</v>
      </c>
      <c r="G44" s="572">
        <v>0</v>
      </c>
      <c r="H44" s="572">
        <v>0</v>
      </c>
      <c r="I44" s="572">
        <v>0</v>
      </c>
      <c r="J44" s="572">
        <v>0</v>
      </c>
      <c r="K44" s="572">
        <v>0</v>
      </c>
      <c r="L44" s="572">
        <v>0</v>
      </c>
      <c r="M44" s="572">
        <v>0</v>
      </c>
      <c r="N44" s="572">
        <v>0</v>
      </c>
      <c r="O44" s="572">
        <v>0</v>
      </c>
      <c r="P44" s="572">
        <v>0</v>
      </c>
      <c r="Q44" s="572">
        <v>0</v>
      </c>
      <c r="R44" s="572">
        <v>0</v>
      </c>
      <c r="S44" s="572">
        <v>0</v>
      </c>
      <c r="T44" s="572">
        <v>0</v>
      </c>
      <c r="U44" s="572">
        <v>0</v>
      </c>
      <c r="V44" s="572">
        <v>0</v>
      </c>
      <c r="W44" s="572">
        <v>0</v>
      </c>
      <c r="X44" s="572">
        <v>0</v>
      </c>
      <c r="Y44" s="572">
        <v>0</v>
      </c>
      <c r="Z44" s="572">
        <v>0</v>
      </c>
    </row>
    <row r="45" spans="1:26" outlineLevel="1">
      <c r="A45" s="807" t="s">
        <v>91</v>
      </c>
      <c r="B45" s="808" t="s">
        <v>78</v>
      </c>
      <c r="C45" s="808">
        <v>637040</v>
      </c>
      <c r="D45" s="486">
        <v>1</v>
      </c>
      <c r="E45" s="68">
        <f t="shared" si="2"/>
        <v>0</v>
      </c>
      <c r="F45" s="567">
        <v>0</v>
      </c>
      <c r="G45" s="567">
        <v>0</v>
      </c>
      <c r="H45" s="567">
        <v>0</v>
      </c>
      <c r="I45" s="567">
        <v>0</v>
      </c>
      <c r="J45" s="567">
        <v>0</v>
      </c>
      <c r="K45" s="567">
        <v>0</v>
      </c>
      <c r="L45" s="567">
        <v>0</v>
      </c>
      <c r="M45" s="567">
        <v>0</v>
      </c>
      <c r="N45" s="567">
        <v>0</v>
      </c>
      <c r="O45" s="567">
        <v>0</v>
      </c>
      <c r="P45" s="567">
        <v>0</v>
      </c>
      <c r="Q45" s="567">
        <v>0</v>
      </c>
      <c r="R45" s="567">
        <v>0</v>
      </c>
      <c r="S45" s="567">
        <v>0</v>
      </c>
      <c r="T45" s="567">
        <v>0</v>
      </c>
      <c r="U45" s="567">
        <v>0</v>
      </c>
      <c r="V45" s="567">
        <v>0</v>
      </c>
      <c r="W45" s="567">
        <v>0</v>
      </c>
      <c r="X45" s="567">
        <v>0</v>
      </c>
      <c r="Y45" s="567">
        <v>0</v>
      </c>
      <c r="Z45" s="567">
        <v>0</v>
      </c>
    </row>
    <row r="46" spans="1:26" outlineLevel="1">
      <c r="A46" s="807"/>
      <c r="B46" s="808"/>
      <c r="C46" s="808"/>
      <c r="D46" s="487">
        <v>2</v>
      </c>
      <c r="E46" s="68">
        <f t="shared" si="2"/>
        <v>0</v>
      </c>
      <c r="F46" s="568">
        <v>0</v>
      </c>
      <c r="G46" s="568">
        <v>0</v>
      </c>
      <c r="H46" s="568">
        <v>0</v>
      </c>
      <c r="I46" s="568">
        <v>0</v>
      </c>
      <c r="J46" s="568">
        <v>0</v>
      </c>
      <c r="K46" s="568">
        <v>0</v>
      </c>
      <c r="L46" s="568">
        <v>0</v>
      </c>
      <c r="M46" s="568">
        <v>0</v>
      </c>
      <c r="N46" s="568">
        <v>0</v>
      </c>
      <c r="O46" s="568">
        <v>0</v>
      </c>
      <c r="P46" s="568">
        <v>0</v>
      </c>
      <c r="Q46" s="568">
        <v>0</v>
      </c>
      <c r="R46" s="568">
        <v>0</v>
      </c>
      <c r="S46" s="568">
        <v>0</v>
      </c>
      <c r="T46" s="568">
        <v>0</v>
      </c>
      <c r="U46" s="568">
        <v>0</v>
      </c>
      <c r="V46" s="568">
        <v>0</v>
      </c>
      <c r="W46" s="568">
        <v>0</v>
      </c>
      <c r="X46" s="568">
        <v>0</v>
      </c>
      <c r="Y46" s="568">
        <v>0</v>
      </c>
      <c r="Z46" s="568">
        <v>0</v>
      </c>
    </row>
    <row r="47" spans="1:26" outlineLevel="1">
      <c r="A47" s="807"/>
      <c r="B47" s="808"/>
      <c r="C47" s="808"/>
      <c r="D47" s="487">
        <v>3</v>
      </c>
      <c r="E47" s="68">
        <f t="shared" si="2"/>
        <v>0</v>
      </c>
      <c r="F47" s="568">
        <v>0</v>
      </c>
      <c r="G47" s="568">
        <v>0</v>
      </c>
      <c r="H47" s="568">
        <v>0</v>
      </c>
      <c r="I47" s="568">
        <v>0</v>
      </c>
      <c r="J47" s="568">
        <v>0</v>
      </c>
      <c r="K47" s="568">
        <v>0</v>
      </c>
      <c r="L47" s="568">
        <v>0</v>
      </c>
      <c r="M47" s="568">
        <v>0</v>
      </c>
      <c r="N47" s="568">
        <v>0</v>
      </c>
      <c r="O47" s="568">
        <v>0</v>
      </c>
      <c r="P47" s="568">
        <v>0</v>
      </c>
      <c r="Q47" s="568">
        <v>0</v>
      </c>
      <c r="R47" s="568">
        <v>0</v>
      </c>
      <c r="S47" s="568">
        <v>0</v>
      </c>
      <c r="T47" s="568">
        <v>0</v>
      </c>
      <c r="U47" s="568">
        <v>0</v>
      </c>
      <c r="V47" s="568">
        <v>0</v>
      </c>
      <c r="W47" s="568">
        <v>0</v>
      </c>
      <c r="X47" s="568">
        <v>0</v>
      </c>
      <c r="Y47" s="568">
        <v>0</v>
      </c>
      <c r="Z47" s="568">
        <v>0</v>
      </c>
    </row>
    <row r="48" spans="1:26" outlineLevel="1">
      <c r="A48" s="807"/>
      <c r="B48" s="808"/>
      <c r="C48" s="808"/>
      <c r="D48" s="487">
        <v>4</v>
      </c>
      <c r="E48" s="68">
        <f t="shared" si="2"/>
        <v>0</v>
      </c>
      <c r="F48" s="568">
        <v>0</v>
      </c>
      <c r="G48" s="568">
        <v>0</v>
      </c>
      <c r="H48" s="568">
        <v>0</v>
      </c>
      <c r="I48" s="568">
        <v>0</v>
      </c>
      <c r="J48" s="568">
        <v>0</v>
      </c>
      <c r="K48" s="568">
        <v>0</v>
      </c>
      <c r="L48" s="568">
        <v>0</v>
      </c>
      <c r="M48" s="568">
        <v>0</v>
      </c>
      <c r="N48" s="568">
        <v>0</v>
      </c>
      <c r="O48" s="568">
        <v>0</v>
      </c>
      <c r="P48" s="568">
        <v>0</v>
      </c>
      <c r="Q48" s="568">
        <v>0</v>
      </c>
      <c r="R48" s="568">
        <v>0</v>
      </c>
      <c r="S48" s="568">
        <v>0</v>
      </c>
      <c r="T48" s="568">
        <v>0</v>
      </c>
      <c r="U48" s="568">
        <v>0</v>
      </c>
      <c r="V48" s="568">
        <v>0</v>
      </c>
      <c r="W48" s="568">
        <v>0</v>
      </c>
      <c r="X48" s="568">
        <v>0</v>
      </c>
      <c r="Y48" s="568">
        <v>0</v>
      </c>
      <c r="Z48" s="568">
        <v>0</v>
      </c>
    </row>
    <row r="49" spans="1:26" outlineLevel="1">
      <c r="A49" s="807"/>
      <c r="B49" s="808"/>
      <c r="C49" s="808"/>
      <c r="D49" s="487">
        <v>5</v>
      </c>
      <c r="E49" s="68">
        <f t="shared" si="2"/>
        <v>0</v>
      </c>
      <c r="F49" s="568">
        <v>0</v>
      </c>
      <c r="G49" s="568">
        <v>0</v>
      </c>
      <c r="H49" s="568">
        <v>0</v>
      </c>
      <c r="I49" s="568">
        <v>0</v>
      </c>
      <c r="J49" s="568">
        <v>0</v>
      </c>
      <c r="K49" s="568">
        <v>0</v>
      </c>
      <c r="L49" s="568">
        <v>0</v>
      </c>
      <c r="M49" s="568">
        <v>0</v>
      </c>
      <c r="N49" s="568">
        <v>0</v>
      </c>
      <c r="O49" s="568">
        <v>0</v>
      </c>
      <c r="P49" s="568">
        <v>0</v>
      </c>
      <c r="Q49" s="568">
        <v>0</v>
      </c>
      <c r="R49" s="568">
        <v>0</v>
      </c>
      <c r="S49" s="568">
        <v>0</v>
      </c>
      <c r="T49" s="568">
        <v>0</v>
      </c>
      <c r="U49" s="568">
        <v>0</v>
      </c>
      <c r="V49" s="568">
        <v>0</v>
      </c>
      <c r="W49" s="568">
        <v>0</v>
      </c>
      <c r="X49" s="568">
        <v>0</v>
      </c>
      <c r="Y49" s="568">
        <v>0</v>
      </c>
      <c r="Z49" s="568">
        <v>0</v>
      </c>
    </row>
    <row r="50" spans="1:26" outlineLevel="1">
      <c r="A50" s="807"/>
      <c r="B50" s="808"/>
      <c r="C50" s="808"/>
      <c r="D50" s="487">
        <v>6</v>
      </c>
      <c r="E50" s="68">
        <f t="shared" si="2"/>
        <v>0</v>
      </c>
      <c r="F50" s="568">
        <v>0</v>
      </c>
      <c r="G50" s="568">
        <v>0</v>
      </c>
      <c r="H50" s="568">
        <v>0</v>
      </c>
      <c r="I50" s="568">
        <v>0</v>
      </c>
      <c r="J50" s="568">
        <v>0</v>
      </c>
      <c r="K50" s="568">
        <v>0</v>
      </c>
      <c r="L50" s="568">
        <v>0</v>
      </c>
      <c r="M50" s="568">
        <v>0</v>
      </c>
      <c r="N50" s="568">
        <v>0</v>
      </c>
      <c r="O50" s="568">
        <v>0</v>
      </c>
      <c r="P50" s="568">
        <v>0</v>
      </c>
      <c r="Q50" s="568">
        <v>0</v>
      </c>
      <c r="R50" s="568">
        <v>0</v>
      </c>
      <c r="S50" s="568">
        <v>0</v>
      </c>
      <c r="T50" s="568">
        <v>0</v>
      </c>
      <c r="U50" s="568">
        <v>0</v>
      </c>
      <c r="V50" s="568">
        <v>0</v>
      </c>
      <c r="W50" s="568">
        <v>0</v>
      </c>
      <c r="X50" s="568">
        <v>0</v>
      </c>
      <c r="Y50" s="568">
        <v>0</v>
      </c>
      <c r="Z50" s="568">
        <v>0</v>
      </c>
    </row>
    <row r="51" spans="1:26" outlineLevel="1">
      <c r="A51" s="807"/>
      <c r="B51" s="808"/>
      <c r="C51" s="808"/>
      <c r="D51" s="487">
        <v>7</v>
      </c>
      <c r="E51" s="68">
        <f t="shared" si="2"/>
        <v>0</v>
      </c>
      <c r="F51" s="568">
        <v>0</v>
      </c>
      <c r="G51" s="568">
        <v>0</v>
      </c>
      <c r="H51" s="568">
        <v>0</v>
      </c>
      <c r="I51" s="568">
        <v>0</v>
      </c>
      <c r="J51" s="568">
        <v>0</v>
      </c>
      <c r="K51" s="568">
        <v>0</v>
      </c>
      <c r="L51" s="568">
        <v>0</v>
      </c>
      <c r="M51" s="568">
        <v>0</v>
      </c>
      <c r="N51" s="568">
        <v>0</v>
      </c>
      <c r="O51" s="568">
        <v>0</v>
      </c>
      <c r="P51" s="568">
        <v>0</v>
      </c>
      <c r="Q51" s="568">
        <v>0</v>
      </c>
      <c r="R51" s="568">
        <v>0</v>
      </c>
      <c r="S51" s="568">
        <v>0</v>
      </c>
      <c r="T51" s="568">
        <v>0</v>
      </c>
      <c r="U51" s="568">
        <v>0</v>
      </c>
      <c r="V51" s="568">
        <v>0</v>
      </c>
      <c r="W51" s="568">
        <v>0</v>
      </c>
      <c r="X51" s="568">
        <v>0</v>
      </c>
      <c r="Y51" s="568">
        <v>0</v>
      </c>
      <c r="Z51" s="568">
        <v>0</v>
      </c>
    </row>
    <row r="52" spans="1:26" outlineLevel="1">
      <c r="A52" s="807"/>
      <c r="B52" s="808"/>
      <c r="C52" s="808"/>
      <c r="D52" s="487">
        <v>8</v>
      </c>
      <c r="E52" s="68">
        <f t="shared" si="2"/>
        <v>0</v>
      </c>
      <c r="F52" s="568">
        <v>0</v>
      </c>
      <c r="G52" s="568">
        <v>0</v>
      </c>
      <c r="H52" s="568">
        <v>0</v>
      </c>
      <c r="I52" s="568">
        <v>0</v>
      </c>
      <c r="J52" s="568">
        <v>0</v>
      </c>
      <c r="K52" s="568">
        <v>0</v>
      </c>
      <c r="L52" s="568">
        <v>0</v>
      </c>
      <c r="M52" s="568">
        <v>0</v>
      </c>
      <c r="N52" s="568">
        <v>0</v>
      </c>
      <c r="O52" s="568">
        <v>0</v>
      </c>
      <c r="P52" s="568">
        <v>0</v>
      </c>
      <c r="Q52" s="568">
        <v>0</v>
      </c>
      <c r="R52" s="568">
        <v>0</v>
      </c>
      <c r="S52" s="568">
        <v>0</v>
      </c>
      <c r="T52" s="568">
        <v>0</v>
      </c>
      <c r="U52" s="568">
        <v>0</v>
      </c>
      <c r="V52" s="568">
        <v>0</v>
      </c>
      <c r="W52" s="568">
        <v>0</v>
      </c>
      <c r="X52" s="568">
        <v>0</v>
      </c>
      <c r="Y52" s="568">
        <v>0</v>
      </c>
      <c r="Z52" s="568">
        <v>0</v>
      </c>
    </row>
    <row r="53" spans="1:26" outlineLevel="1">
      <c r="A53" s="807"/>
      <c r="B53" s="808"/>
      <c r="C53" s="808"/>
      <c r="D53" s="487">
        <v>9</v>
      </c>
      <c r="E53" s="68">
        <f t="shared" si="2"/>
        <v>0</v>
      </c>
      <c r="F53" s="568">
        <v>0</v>
      </c>
      <c r="G53" s="568">
        <v>0</v>
      </c>
      <c r="H53" s="568">
        <v>0</v>
      </c>
      <c r="I53" s="568">
        <v>0</v>
      </c>
      <c r="J53" s="568">
        <v>0</v>
      </c>
      <c r="K53" s="568">
        <v>0</v>
      </c>
      <c r="L53" s="568">
        <v>0</v>
      </c>
      <c r="M53" s="568">
        <v>0</v>
      </c>
      <c r="N53" s="568">
        <v>0</v>
      </c>
      <c r="O53" s="568">
        <v>0</v>
      </c>
      <c r="P53" s="568">
        <v>0</v>
      </c>
      <c r="Q53" s="568">
        <v>0</v>
      </c>
      <c r="R53" s="568">
        <v>0</v>
      </c>
      <c r="S53" s="568">
        <v>0</v>
      </c>
      <c r="T53" s="568">
        <v>0</v>
      </c>
      <c r="U53" s="568">
        <v>0</v>
      </c>
      <c r="V53" s="568">
        <v>0</v>
      </c>
      <c r="W53" s="568">
        <v>0</v>
      </c>
      <c r="X53" s="568">
        <v>0</v>
      </c>
      <c r="Y53" s="568">
        <v>0</v>
      </c>
      <c r="Z53" s="568">
        <v>0</v>
      </c>
    </row>
    <row r="54" spans="1:26" ht="15.75" outlineLevel="1" thickBot="1">
      <c r="A54" s="807"/>
      <c r="B54" s="808"/>
      <c r="C54" s="808"/>
      <c r="D54" s="488">
        <v>10</v>
      </c>
      <c r="E54" s="68">
        <f t="shared" si="2"/>
        <v>0</v>
      </c>
      <c r="F54" s="572">
        <v>0</v>
      </c>
      <c r="G54" s="572">
        <v>0</v>
      </c>
      <c r="H54" s="572">
        <v>0</v>
      </c>
      <c r="I54" s="572">
        <v>0</v>
      </c>
      <c r="J54" s="572">
        <v>0</v>
      </c>
      <c r="K54" s="572">
        <v>0</v>
      </c>
      <c r="L54" s="572">
        <v>0</v>
      </c>
      <c r="M54" s="572">
        <v>0</v>
      </c>
      <c r="N54" s="572">
        <v>0</v>
      </c>
      <c r="O54" s="572">
        <v>0</v>
      </c>
      <c r="P54" s="572">
        <v>0</v>
      </c>
      <c r="Q54" s="572">
        <v>0</v>
      </c>
      <c r="R54" s="572">
        <v>0</v>
      </c>
      <c r="S54" s="572">
        <v>0</v>
      </c>
      <c r="T54" s="572">
        <v>0</v>
      </c>
      <c r="U54" s="572">
        <v>0</v>
      </c>
      <c r="V54" s="572">
        <v>0</v>
      </c>
      <c r="W54" s="572">
        <v>0</v>
      </c>
      <c r="X54" s="572">
        <v>0</v>
      </c>
      <c r="Y54" s="572">
        <v>0</v>
      </c>
      <c r="Z54" s="572">
        <v>0</v>
      </c>
    </row>
    <row r="55" spans="1:26" ht="15.75" thickBot="1">
      <c r="A55" s="821" t="s">
        <v>88</v>
      </c>
      <c r="B55" s="821"/>
      <c r="C55" s="821"/>
      <c r="D55" s="579"/>
      <c r="E55" s="72">
        <f t="shared" ref="E55:F55" si="5">SUM(E56:E105)</f>
        <v>0</v>
      </c>
      <c r="F55" s="73">
        <f t="shared" si="5"/>
        <v>0</v>
      </c>
      <c r="G55" s="73">
        <f t="shared" ref="G55:Z55" si="6">SUM(G56:G105)</f>
        <v>0</v>
      </c>
      <c r="H55" s="73">
        <f t="shared" si="6"/>
        <v>0</v>
      </c>
      <c r="I55" s="73">
        <f t="shared" si="6"/>
        <v>0</v>
      </c>
      <c r="J55" s="73">
        <f t="shared" si="6"/>
        <v>0</v>
      </c>
      <c r="K55" s="73">
        <f t="shared" si="6"/>
        <v>0</v>
      </c>
      <c r="L55" s="73">
        <f t="shared" si="6"/>
        <v>0</v>
      </c>
      <c r="M55" s="73">
        <f t="shared" si="6"/>
        <v>0</v>
      </c>
      <c r="N55" s="73">
        <f t="shared" si="6"/>
        <v>0</v>
      </c>
      <c r="O55" s="73">
        <f t="shared" si="6"/>
        <v>0</v>
      </c>
      <c r="P55" s="73">
        <f t="shared" si="6"/>
        <v>0</v>
      </c>
      <c r="Q55" s="73">
        <f t="shared" si="6"/>
        <v>0</v>
      </c>
      <c r="R55" s="73">
        <f t="shared" si="6"/>
        <v>0</v>
      </c>
      <c r="S55" s="73">
        <f t="shared" si="6"/>
        <v>0</v>
      </c>
      <c r="T55" s="73">
        <f t="shared" si="6"/>
        <v>0</v>
      </c>
      <c r="U55" s="73">
        <f t="shared" si="6"/>
        <v>0</v>
      </c>
      <c r="V55" s="73">
        <f t="shared" si="6"/>
        <v>0</v>
      </c>
      <c r="W55" s="73">
        <f t="shared" si="6"/>
        <v>0</v>
      </c>
      <c r="X55" s="73">
        <f t="shared" si="6"/>
        <v>0</v>
      </c>
      <c r="Y55" s="73">
        <f t="shared" si="6"/>
        <v>0</v>
      </c>
      <c r="Z55" s="73">
        <f t="shared" si="6"/>
        <v>0</v>
      </c>
    </row>
    <row r="56" spans="1:26" outlineLevel="1">
      <c r="A56" s="807" t="s">
        <v>93</v>
      </c>
      <c r="B56" s="808" t="s">
        <v>81</v>
      </c>
      <c r="C56" s="808">
        <v>635002</v>
      </c>
      <c r="D56" s="486">
        <v>1</v>
      </c>
      <c r="E56" s="67">
        <f t="shared" ref="E56:E105" si="7">SUM(F56:Z56)</f>
        <v>0</v>
      </c>
      <c r="F56" s="564">
        <f>IFERROR(IF(VLOOKUP(F$2,MODULY_CBA!$B$3:$N$23,13,0)&lt;=$D56,SUM(F$5:F$14)*VLOOKUP(F$2,MODULY_CBA!$B$3:$M$23,12,0),0),0)</f>
        <v>0</v>
      </c>
      <c r="G56" s="564">
        <f>IFERROR(IF(VLOOKUP(G$2,MODULY_CBA!$B$3:$N$23,13,0)&lt;=$D56,SUM(G$5:G$14)*VLOOKUP(G$2,MODULY_CBA!$B$3:$M$23,12,0),0),0)</f>
        <v>0</v>
      </c>
      <c r="H56" s="564">
        <f>IFERROR(IF(VLOOKUP(H$2,MODULY_CBA!$B$3:$N$23,13,0)&lt;=$D56,SUM(H$5:H$14)*VLOOKUP(H$2,MODULY_CBA!$B$3:$M$23,12,0),0),0)</f>
        <v>0</v>
      </c>
      <c r="I56" s="564">
        <f>IFERROR(IF(VLOOKUP(I$2,MODULY_CBA!$B$3:$N$23,13,0)&lt;=$D56,SUM(I$5:I$14)*VLOOKUP(I$2,MODULY_CBA!$B$3:$M$23,12,0),0),0)</f>
        <v>0</v>
      </c>
      <c r="J56" s="564">
        <f>IFERROR(IF(VLOOKUP(J$2,MODULY_CBA!$B$3:$N$23,13,0)&lt;=$D56,SUM(J$5:J$14)*VLOOKUP(J$2,MODULY_CBA!$B$3:$M$23,12,0),0),0)</f>
        <v>0</v>
      </c>
      <c r="K56" s="564">
        <f>IFERROR(IF(VLOOKUP(K$2,MODULY_CBA!$B$3:$N$23,13,0)&lt;=$D56,SUM(K$5:K$14)*VLOOKUP(K$2,MODULY_CBA!$B$3:$M$23,12,0),0),0)</f>
        <v>0</v>
      </c>
      <c r="L56" s="564">
        <f>IFERROR(IF(VLOOKUP(L$2,MODULY_CBA!$B$3:$N$23,13,0)&lt;=$D56,SUM(L$5:L$14)*VLOOKUP(L$2,MODULY_CBA!$B$3:$M$23,12,0),0),0)</f>
        <v>0</v>
      </c>
      <c r="M56" s="564">
        <f>IFERROR(IF(VLOOKUP(M$2,MODULY_CBA!$B$3:$N$23,13,0)&lt;=$D56,SUM(M$5:M$14)*VLOOKUP(M$2,MODULY_CBA!$B$3:$M$23,12,0),0),0)</f>
        <v>0</v>
      </c>
      <c r="N56" s="564">
        <f>IFERROR(IF(VLOOKUP(N$2,MODULY_CBA!$B$3:$N$23,13,0)&lt;=$D56,SUM(N$5:N$14)*VLOOKUP(N$2,MODULY_CBA!$B$3:$M$23,12,0),0),0)</f>
        <v>0</v>
      </c>
      <c r="O56" s="564">
        <f>IFERROR(IF(VLOOKUP(O$2,MODULY_CBA!$B$3:$N$23,13,0)&lt;=$D56,SUM(O$5:O$14)*VLOOKUP(O$2,MODULY_CBA!$B$3:$M$23,12,0),0),0)</f>
        <v>0</v>
      </c>
      <c r="P56" s="564">
        <f>IFERROR(IF(VLOOKUP(P$2,MODULY_CBA!$B$3:$N$23,13,0)&lt;=$D56,SUM(P$5:P$14)*VLOOKUP(P$2,MODULY_CBA!$B$3:$M$23,12,0),0),0)</f>
        <v>0</v>
      </c>
      <c r="Q56" s="564">
        <f>IFERROR(IF(VLOOKUP(Q$2,MODULY_CBA!$B$3:$N$23,13,0)&lt;=$D56,SUM(Q$5:Q$14)*VLOOKUP(Q$2,MODULY_CBA!$B$3:$M$23,12,0),0),0)</f>
        <v>0</v>
      </c>
      <c r="R56" s="564">
        <f>IFERROR(IF(VLOOKUP(R$2,MODULY_CBA!$B$3:$N$23,13,0)&lt;=$D56,SUM(R$5:R$14)*VLOOKUP(R$2,MODULY_CBA!$B$3:$M$23,12,0),0),0)</f>
        <v>0</v>
      </c>
      <c r="S56" s="564">
        <f>IFERROR(IF(VLOOKUP(S$2,MODULY_CBA!$B$3:$N$23,13,0)&lt;=$D56,SUM(S$5:S$14)*VLOOKUP(S$2,MODULY_CBA!$B$3:$M$23,12,0),0),0)</f>
        <v>0</v>
      </c>
      <c r="T56" s="564">
        <f>IFERROR(IF(VLOOKUP(T$2,MODULY_CBA!$B$3:$N$23,13,0)&lt;=$D56,SUM(T$5:T$14)*VLOOKUP(T$2,MODULY_CBA!$B$3:$M$23,12,0),0),0)</f>
        <v>0</v>
      </c>
      <c r="U56" s="564">
        <f>IFERROR(IF(VLOOKUP(U$2,MODULY_CBA!$B$3:$N$23,13,0)&lt;=$D56,SUM(U$5:U$14)*VLOOKUP(U$2,MODULY_CBA!$B$3:$M$23,12,0),0),0)</f>
        <v>0</v>
      </c>
      <c r="V56" s="564">
        <f>IFERROR(IF(VLOOKUP(V$2,MODULY_CBA!$B$3:$N$23,13,0)&lt;=$D56,SUM(V$5:V$14)*VLOOKUP(V$2,MODULY_CBA!$B$3:$M$23,12,0),0),0)</f>
        <v>0</v>
      </c>
      <c r="W56" s="564">
        <f>IFERROR(IF(VLOOKUP(W$2,MODULY_CBA!$B$3:$N$23,13,0)&lt;=$D56,SUM(W$5:W$14)*VLOOKUP(W$2,MODULY_CBA!$B$3:$M$23,12,0),0),0)</f>
        <v>0</v>
      </c>
      <c r="X56" s="564">
        <f>IFERROR(IF(VLOOKUP(X$2,MODULY_CBA!$B$3:$N$23,13,0)&lt;=$D56,SUM(X$5:X$14)*VLOOKUP(X$2,MODULY_CBA!$B$3:$M$23,12,0),0),0)</f>
        <v>0</v>
      </c>
      <c r="Y56" s="564">
        <f>IFERROR(IF(VLOOKUP(Y$2,MODULY_CBA!$B$3:$N$23,13,0)&lt;=$D56,SUM(Y$5:Y$14)*VLOOKUP(Y$2,MODULY_CBA!$B$3:$M$23,12,0),0),0)</f>
        <v>0</v>
      </c>
      <c r="Z56" s="564">
        <f>IFERROR(IF(VLOOKUP(Z$2,MODULY_CBA!$B$3:$N$23,13,0)&lt;=$D56,SUM(Z$5:Z$14)*VLOOKUP(Z$2,MODULY_CBA!$B$3:$M$23,12,0),0),0)</f>
        <v>0</v>
      </c>
    </row>
    <row r="57" spans="1:26" outlineLevel="1">
      <c r="A57" s="807"/>
      <c r="B57" s="808"/>
      <c r="C57" s="808"/>
      <c r="D57" s="487">
        <v>2</v>
      </c>
      <c r="E57" s="68">
        <f t="shared" si="7"/>
        <v>0</v>
      </c>
      <c r="F57" s="565">
        <f>IFERROR(IF(VLOOKUP(F$2,MODULY_CBA!$B$3:$N$23,13,0)&lt;=$D57,SUM(F$5:F$14)*VLOOKUP(F$2,MODULY_CBA!$B$3:$M$23,12,0),0),0)</f>
        <v>0</v>
      </c>
      <c r="G57" s="565">
        <f>IFERROR(IF(VLOOKUP(G$2,MODULY_CBA!$B$3:$N$23,13,0)&lt;=$D57,SUM(G$5:G$14)*VLOOKUP(G$2,MODULY_CBA!$B$3:$M$23,12,0),0),0)</f>
        <v>0</v>
      </c>
      <c r="H57" s="565">
        <f>IFERROR(IF(VLOOKUP(H$2,MODULY_CBA!$B$3:$N$23,13,0)&lt;=$D57,SUM(H$5:H$14)*VLOOKUP(H$2,MODULY_CBA!$B$3:$M$23,12,0),0),0)</f>
        <v>0</v>
      </c>
      <c r="I57" s="565">
        <f>IFERROR(IF(VLOOKUP(I$2,MODULY_CBA!$B$3:$N$23,13,0)&lt;=$D57,SUM(I$5:I$14)*VLOOKUP(I$2,MODULY_CBA!$B$3:$M$23,12,0),0),0)</f>
        <v>0</v>
      </c>
      <c r="J57" s="565">
        <f>IFERROR(IF(VLOOKUP(J$2,MODULY_CBA!$B$3:$N$23,13,0)&lt;=$D57,SUM(J$5:J$14)*VLOOKUP(J$2,MODULY_CBA!$B$3:$M$23,12,0),0),0)</f>
        <v>0</v>
      </c>
      <c r="K57" s="565">
        <f>IFERROR(IF(VLOOKUP(K$2,MODULY_CBA!$B$3:$N$23,13,0)&lt;=$D57,SUM(K$5:K$14)*VLOOKUP(K$2,MODULY_CBA!$B$3:$M$23,12,0),0),0)</f>
        <v>0</v>
      </c>
      <c r="L57" s="565">
        <f>IFERROR(IF(VLOOKUP(L$2,MODULY_CBA!$B$3:$N$23,13,0)&lt;=$D57,SUM(L$5:L$14)*VLOOKUP(L$2,MODULY_CBA!$B$3:$M$23,12,0),0),0)</f>
        <v>0</v>
      </c>
      <c r="M57" s="565">
        <f>IFERROR(IF(VLOOKUP(M$2,MODULY_CBA!$B$3:$N$23,13,0)&lt;=$D57,SUM(M$5:M$14)*VLOOKUP(M$2,MODULY_CBA!$B$3:$M$23,12,0),0),0)</f>
        <v>0</v>
      </c>
      <c r="N57" s="565">
        <f>IFERROR(IF(VLOOKUP(N$2,MODULY_CBA!$B$3:$N$23,13,0)&lt;=$D57,SUM(N$5:N$14)*VLOOKUP(N$2,MODULY_CBA!$B$3:$M$23,12,0),0),0)</f>
        <v>0</v>
      </c>
      <c r="O57" s="565">
        <f>IFERROR(IF(VLOOKUP(O$2,MODULY_CBA!$B$3:$N$23,13,0)&lt;=$D57,SUM(O$5:O$14)*VLOOKUP(O$2,MODULY_CBA!$B$3:$M$23,12,0),0),0)</f>
        <v>0</v>
      </c>
      <c r="P57" s="565">
        <f>IFERROR(IF(VLOOKUP(P$2,MODULY_CBA!$B$3:$N$23,13,0)&lt;=$D57,SUM(P$5:P$14)*VLOOKUP(P$2,MODULY_CBA!$B$3:$M$23,12,0),0),0)</f>
        <v>0</v>
      </c>
      <c r="Q57" s="565">
        <f>IFERROR(IF(VLOOKUP(Q$2,MODULY_CBA!$B$3:$N$23,13,0)&lt;=$D57,SUM(Q$5:Q$14)*VLOOKUP(Q$2,MODULY_CBA!$B$3:$M$23,12,0),0),0)</f>
        <v>0</v>
      </c>
      <c r="R57" s="565">
        <f>IFERROR(IF(VLOOKUP(R$2,MODULY_CBA!$B$3:$N$23,13,0)&lt;=$D57,SUM(R$5:R$14)*VLOOKUP(R$2,MODULY_CBA!$B$3:$M$23,12,0),0),0)</f>
        <v>0</v>
      </c>
      <c r="S57" s="565">
        <f>IFERROR(IF(VLOOKUP(S$2,MODULY_CBA!$B$3:$N$23,13,0)&lt;=$D57,SUM(S$5:S$14)*VLOOKUP(S$2,MODULY_CBA!$B$3:$M$23,12,0),0),0)</f>
        <v>0</v>
      </c>
      <c r="T57" s="565">
        <f>IFERROR(IF(VLOOKUP(T$2,MODULY_CBA!$B$3:$N$23,13,0)&lt;=$D57,SUM(T$5:T$14)*VLOOKUP(T$2,MODULY_CBA!$B$3:$M$23,12,0),0),0)</f>
        <v>0</v>
      </c>
      <c r="U57" s="565">
        <f>IFERROR(IF(VLOOKUP(U$2,MODULY_CBA!$B$3:$N$23,13,0)&lt;=$D57,SUM(U$5:U$14)*VLOOKUP(U$2,MODULY_CBA!$B$3:$M$23,12,0),0),0)</f>
        <v>0</v>
      </c>
      <c r="V57" s="565">
        <f>IFERROR(IF(VLOOKUP(V$2,MODULY_CBA!$B$3:$N$23,13,0)&lt;=$D57,SUM(V$5:V$14)*VLOOKUP(V$2,MODULY_CBA!$B$3:$M$23,12,0),0),0)</f>
        <v>0</v>
      </c>
      <c r="W57" s="565">
        <f>IFERROR(IF(VLOOKUP(W$2,MODULY_CBA!$B$3:$N$23,13,0)&lt;=$D57,SUM(W$5:W$14)*VLOOKUP(W$2,MODULY_CBA!$B$3:$M$23,12,0),0),0)</f>
        <v>0</v>
      </c>
      <c r="X57" s="565">
        <f>IFERROR(IF(VLOOKUP(X$2,MODULY_CBA!$B$3:$N$23,13,0)&lt;=$D57,SUM(X$5:X$14)*VLOOKUP(X$2,MODULY_CBA!$B$3:$M$23,12,0),0),0)</f>
        <v>0</v>
      </c>
      <c r="Y57" s="565">
        <f>IFERROR(IF(VLOOKUP(Y$2,MODULY_CBA!$B$3:$N$23,13,0)&lt;=$D57,SUM(Y$5:Y$14)*VLOOKUP(Y$2,MODULY_CBA!$B$3:$M$23,12,0),0),0)</f>
        <v>0</v>
      </c>
      <c r="Z57" s="565">
        <f>IFERROR(IF(VLOOKUP(Z$2,MODULY_CBA!$B$3:$N$23,13,0)&lt;=$D57,SUM(Z$5:Z$14)*VLOOKUP(Z$2,MODULY_CBA!$B$3:$M$23,12,0),0),0)</f>
        <v>0</v>
      </c>
    </row>
    <row r="58" spans="1:26" outlineLevel="1">
      <c r="A58" s="807"/>
      <c r="B58" s="808"/>
      <c r="C58" s="808"/>
      <c r="D58" s="487">
        <v>3</v>
      </c>
      <c r="E58" s="68">
        <f t="shared" si="7"/>
        <v>0</v>
      </c>
      <c r="F58" s="565">
        <f>IFERROR(IF(VLOOKUP(F$2,MODULY_CBA!$B$3:$N$23,13,0)&lt;=$D58,SUM(F$5:F$14)*VLOOKUP(F$2,MODULY_CBA!$B$3:$M$23,12,0),0),0)</f>
        <v>0</v>
      </c>
      <c r="G58" s="565">
        <f>IFERROR(IF(VLOOKUP(G$2,MODULY_CBA!$B$3:$N$23,13,0)&lt;=$D58,SUM(G$5:G$14)*VLOOKUP(G$2,MODULY_CBA!$B$3:$M$23,12,0),0),0)</f>
        <v>0</v>
      </c>
      <c r="H58" s="565">
        <f>IFERROR(IF(VLOOKUP(H$2,MODULY_CBA!$B$3:$N$23,13,0)&lt;=$D58,SUM(H$5:H$14)*VLOOKUP(H$2,MODULY_CBA!$B$3:$M$23,12,0),0),0)</f>
        <v>0</v>
      </c>
      <c r="I58" s="565">
        <f>IFERROR(IF(VLOOKUP(I$2,MODULY_CBA!$B$3:$N$23,13,0)&lt;=$D58,SUM(I$5:I$14)*VLOOKUP(I$2,MODULY_CBA!$B$3:$M$23,12,0),0),0)</f>
        <v>0</v>
      </c>
      <c r="J58" s="565">
        <f>IFERROR(IF(VLOOKUP(J$2,MODULY_CBA!$B$3:$N$23,13,0)&lt;=$D58,SUM(J$5:J$14)*VLOOKUP(J$2,MODULY_CBA!$B$3:$M$23,12,0),0),0)</f>
        <v>0</v>
      </c>
      <c r="K58" s="565">
        <f>IFERROR(IF(VLOOKUP(K$2,MODULY_CBA!$B$3:$N$23,13,0)&lt;=$D58,SUM(K$5:K$14)*VLOOKUP(K$2,MODULY_CBA!$B$3:$M$23,12,0),0),0)</f>
        <v>0</v>
      </c>
      <c r="L58" s="565">
        <f>IFERROR(IF(VLOOKUP(L$2,MODULY_CBA!$B$3:$N$23,13,0)&lt;=$D58,SUM(L$5:L$14)*VLOOKUP(L$2,MODULY_CBA!$B$3:$M$23,12,0),0),0)</f>
        <v>0</v>
      </c>
      <c r="M58" s="565">
        <f>IFERROR(IF(VLOOKUP(M$2,MODULY_CBA!$B$3:$N$23,13,0)&lt;=$D58,SUM(M$5:M$14)*VLOOKUP(M$2,MODULY_CBA!$B$3:$M$23,12,0),0),0)</f>
        <v>0</v>
      </c>
      <c r="N58" s="565">
        <f>IFERROR(IF(VLOOKUP(N$2,MODULY_CBA!$B$3:$N$23,13,0)&lt;=$D58,SUM(N$5:N$14)*VLOOKUP(N$2,MODULY_CBA!$B$3:$M$23,12,0),0),0)</f>
        <v>0</v>
      </c>
      <c r="O58" s="565">
        <f>IFERROR(IF(VLOOKUP(O$2,MODULY_CBA!$B$3:$N$23,13,0)&lt;=$D58,SUM(O$5:O$14)*VLOOKUP(O$2,MODULY_CBA!$B$3:$M$23,12,0),0),0)</f>
        <v>0</v>
      </c>
      <c r="P58" s="565">
        <f>IFERROR(IF(VLOOKUP(P$2,MODULY_CBA!$B$3:$N$23,13,0)&lt;=$D58,SUM(P$5:P$14)*VLOOKUP(P$2,MODULY_CBA!$B$3:$M$23,12,0),0),0)</f>
        <v>0</v>
      </c>
      <c r="Q58" s="565">
        <f>IFERROR(IF(VLOOKUP(Q$2,MODULY_CBA!$B$3:$N$23,13,0)&lt;=$D58,SUM(Q$5:Q$14)*VLOOKUP(Q$2,MODULY_CBA!$B$3:$M$23,12,0),0),0)</f>
        <v>0</v>
      </c>
      <c r="R58" s="565">
        <f>IFERROR(IF(VLOOKUP(R$2,MODULY_CBA!$B$3:$N$23,13,0)&lt;=$D58,SUM(R$5:R$14)*VLOOKUP(R$2,MODULY_CBA!$B$3:$M$23,12,0),0),0)</f>
        <v>0</v>
      </c>
      <c r="S58" s="565">
        <f>IFERROR(IF(VLOOKUP(S$2,MODULY_CBA!$B$3:$N$23,13,0)&lt;=$D58,SUM(S$5:S$14)*VLOOKUP(S$2,MODULY_CBA!$B$3:$M$23,12,0),0),0)</f>
        <v>0</v>
      </c>
      <c r="T58" s="565">
        <f>IFERROR(IF(VLOOKUP(T$2,MODULY_CBA!$B$3:$N$23,13,0)&lt;=$D58,SUM(T$5:T$14)*VLOOKUP(T$2,MODULY_CBA!$B$3:$M$23,12,0),0),0)</f>
        <v>0</v>
      </c>
      <c r="U58" s="565">
        <f>IFERROR(IF(VLOOKUP(U$2,MODULY_CBA!$B$3:$N$23,13,0)&lt;=$D58,SUM(U$5:U$14)*VLOOKUP(U$2,MODULY_CBA!$B$3:$M$23,12,0),0),0)</f>
        <v>0</v>
      </c>
      <c r="V58" s="565">
        <f>IFERROR(IF(VLOOKUP(V$2,MODULY_CBA!$B$3:$N$23,13,0)&lt;=$D58,SUM(V$5:V$14)*VLOOKUP(V$2,MODULY_CBA!$B$3:$M$23,12,0),0),0)</f>
        <v>0</v>
      </c>
      <c r="W58" s="565">
        <f>IFERROR(IF(VLOOKUP(W$2,MODULY_CBA!$B$3:$N$23,13,0)&lt;=$D58,SUM(W$5:W$14)*VLOOKUP(W$2,MODULY_CBA!$B$3:$M$23,12,0),0),0)</f>
        <v>0</v>
      </c>
      <c r="X58" s="565">
        <f>IFERROR(IF(VLOOKUP(X$2,MODULY_CBA!$B$3:$N$23,13,0)&lt;=$D58,SUM(X$5:X$14)*VLOOKUP(X$2,MODULY_CBA!$B$3:$M$23,12,0),0),0)</f>
        <v>0</v>
      </c>
      <c r="Y58" s="565">
        <f>IFERROR(IF(VLOOKUP(Y$2,MODULY_CBA!$B$3:$N$23,13,0)&lt;=$D58,SUM(Y$5:Y$14)*VLOOKUP(Y$2,MODULY_CBA!$B$3:$M$23,12,0),0),0)</f>
        <v>0</v>
      </c>
      <c r="Z58" s="565">
        <f>IFERROR(IF(VLOOKUP(Z$2,MODULY_CBA!$B$3:$N$23,13,0)&lt;=$D58,SUM(Z$5:Z$14)*VLOOKUP(Z$2,MODULY_CBA!$B$3:$M$23,12,0),0),0)</f>
        <v>0</v>
      </c>
    </row>
    <row r="59" spans="1:26" outlineLevel="1">
      <c r="A59" s="807"/>
      <c r="B59" s="808"/>
      <c r="C59" s="808"/>
      <c r="D59" s="487">
        <v>4</v>
      </c>
      <c r="E59" s="68">
        <f t="shared" si="7"/>
        <v>0</v>
      </c>
      <c r="F59" s="565">
        <f>IFERROR(IF(VLOOKUP(F$2,MODULY_CBA!$B$3:$N$23,13,0)&lt;=$D59,SUM(F$5:F$14)*VLOOKUP(F$2,MODULY_CBA!$B$3:$M$23,12,0),0),0)</f>
        <v>0</v>
      </c>
      <c r="G59" s="565">
        <f>IFERROR(IF(VLOOKUP(G$2,MODULY_CBA!$B$3:$N$23,13,0)&lt;=$D59,SUM(G$5:G$14)*VLOOKUP(G$2,MODULY_CBA!$B$3:$M$23,12,0),0),0)</f>
        <v>0</v>
      </c>
      <c r="H59" s="565">
        <f>IFERROR(IF(VLOOKUP(H$2,MODULY_CBA!$B$3:$N$23,13,0)&lt;=$D59,SUM(H$5:H$14)*VLOOKUP(H$2,MODULY_CBA!$B$3:$M$23,12,0),0),0)</f>
        <v>0</v>
      </c>
      <c r="I59" s="565">
        <f>IFERROR(IF(VLOOKUP(I$2,MODULY_CBA!$B$3:$N$23,13,0)&lt;=$D59,SUM(I$5:I$14)*VLOOKUP(I$2,MODULY_CBA!$B$3:$M$23,12,0),0),0)</f>
        <v>0</v>
      </c>
      <c r="J59" s="565">
        <f>IFERROR(IF(VLOOKUP(J$2,MODULY_CBA!$B$3:$N$23,13,0)&lt;=$D59,SUM(J$5:J$14)*VLOOKUP(J$2,MODULY_CBA!$B$3:$M$23,12,0),0),0)</f>
        <v>0</v>
      </c>
      <c r="K59" s="565">
        <f>IFERROR(IF(VLOOKUP(K$2,MODULY_CBA!$B$3:$N$23,13,0)&lt;=$D59,SUM(K$5:K$14)*VLOOKUP(K$2,MODULY_CBA!$B$3:$M$23,12,0),0),0)</f>
        <v>0</v>
      </c>
      <c r="L59" s="565">
        <f>IFERROR(IF(VLOOKUP(L$2,MODULY_CBA!$B$3:$N$23,13,0)&lt;=$D59,SUM(L$5:L$14)*VLOOKUP(L$2,MODULY_CBA!$B$3:$M$23,12,0),0),0)</f>
        <v>0</v>
      </c>
      <c r="M59" s="565">
        <f>IFERROR(IF(VLOOKUP(M$2,MODULY_CBA!$B$3:$N$23,13,0)&lt;=$D59,SUM(M$5:M$14)*VLOOKUP(M$2,MODULY_CBA!$B$3:$M$23,12,0),0),0)</f>
        <v>0</v>
      </c>
      <c r="N59" s="565">
        <f>IFERROR(IF(VLOOKUP(N$2,MODULY_CBA!$B$3:$N$23,13,0)&lt;=$D59,SUM(N$5:N$14)*VLOOKUP(N$2,MODULY_CBA!$B$3:$M$23,12,0),0),0)</f>
        <v>0</v>
      </c>
      <c r="O59" s="565">
        <f>IFERROR(IF(VLOOKUP(O$2,MODULY_CBA!$B$3:$N$23,13,0)&lt;=$D59,SUM(O$5:O$14)*VLOOKUP(O$2,MODULY_CBA!$B$3:$M$23,12,0),0),0)</f>
        <v>0</v>
      </c>
      <c r="P59" s="565">
        <f>IFERROR(IF(VLOOKUP(P$2,MODULY_CBA!$B$3:$N$23,13,0)&lt;=$D59,SUM(P$5:P$14)*VLOOKUP(P$2,MODULY_CBA!$B$3:$M$23,12,0),0),0)</f>
        <v>0</v>
      </c>
      <c r="Q59" s="565">
        <f>IFERROR(IF(VLOOKUP(Q$2,MODULY_CBA!$B$3:$N$23,13,0)&lt;=$D59,SUM(Q$5:Q$14)*VLOOKUP(Q$2,MODULY_CBA!$B$3:$M$23,12,0),0),0)</f>
        <v>0</v>
      </c>
      <c r="R59" s="565">
        <f>IFERROR(IF(VLOOKUP(R$2,MODULY_CBA!$B$3:$N$23,13,0)&lt;=$D59,SUM(R$5:R$14)*VLOOKUP(R$2,MODULY_CBA!$B$3:$M$23,12,0),0),0)</f>
        <v>0</v>
      </c>
      <c r="S59" s="565">
        <f>IFERROR(IF(VLOOKUP(S$2,MODULY_CBA!$B$3:$N$23,13,0)&lt;=$D59,SUM(S$5:S$14)*VLOOKUP(S$2,MODULY_CBA!$B$3:$M$23,12,0),0),0)</f>
        <v>0</v>
      </c>
      <c r="T59" s="565">
        <f>IFERROR(IF(VLOOKUP(T$2,MODULY_CBA!$B$3:$N$23,13,0)&lt;=$D59,SUM(T$5:T$14)*VLOOKUP(T$2,MODULY_CBA!$B$3:$M$23,12,0),0),0)</f>
        <v>0</v>
      </c>
      <c r="U59" s="565">
        <f>IFERROR(IF(VLOOKUP(U$2,MODULY_CBA!$B$3:$N$23,13,0)&lt;=$D59,SUM(U$5:U$14)*VLOOKUP(U$2,MODULY_CBA!$B$3:$M$23,12,0),0),0)</f>
        <v>0</v>
      </c>
      <c r="V59" s="565">
        <f>IFERROR(IF(VLOOKUP(V$2,MODULY_CBA!$B$3:$N$23,13,0)&lt;=$D59,SUM(V$5:V$14)*VLOOKUP(V$2,MODULY_CBA!$B$3:$M$23,12,0),0),0)</f>
        <v>0</v>
      </c>
      <c r="W59" s="565">
        <f>IFERROR(IF(VLOOKUP(W$2,MODULY_CBA!$B$3:$N$23,13,0)&lt;=$D59,SUM(W$5:W$14)*VLOOKUP(W$2,MODULY_CBA!$B$3:$M$23,12,0),0),0)</f>
        <v>0</v>
      </c>
      <c r="X59" s="565">
        <f>IFERROR(IF(VLOOKUP(X$2,MODULY_CBA!$B$3:$N$23,13,0)&lt;=$D59,SUM(X$5:X$14)*VLOOKUP(X$2,MODULY_CBA!$B$3:$M$23,12,0),0),0)</f>
        <v>0</v>
      </c>
      <c r="Y59" s="565">
        <f>IFERROR(IF(VLOOKUP(Y$2,MODULY_CBA!$B$3:$N$23,13,0)&lt;=$D59,SUM(Y$5:Y$14)*VLOOKUP(Y$2,MODULY_CBA!$B$3:$M$23,12,0),0),0)</f>
        <v>0</v>
      </c>
      <c r="Z59" s="565">
        <f>IFERROR(IF(VLOOKUP(Z$2,MODULY_CBA!$B$3:$N$23,13,0)&lt;=$D59,SUM(Z$5:Z$14)*VLOOKUP(Z$2,MODULY_CBA!$B$3:$M$23,12,0),0),0)</f>
        <v>0</v>
      </c>
    </row>
    <row r="60" spans="1:26" outlineLevel="1">
      <c r="A60" s="807"/>
      <c r="B60" s="808"/>
      <c r="C60" s="808"/>
      <c r="D60" s="487">
        <v>5</v>
      </c>
      <c r="E60" s="68">
        <f t="shared" si="7"/>
        <v>0</v>
      </c>
      <c r="F60" s="565">
        <f>IFERROR(IF(VLOOKUP(F$2,MODULY_CBA!$B$3:$N$23,13,0)&lt;=$D60,SUM(F$5:F$14)*VLOOKUP(F$2,MODULY_CBA!$B$3:$M$23,12,0),0),0)</f>
        <v>0</v>
      </c>
      <c r="G60" s="565">
        <f>IFERROR(IF(VLOOKUP(G$2,MODULY_CBA!$B$3:$N$23,13,0)&lt;=$D60,SUM(G$5:G$14)*VLOOKUP(G$2,MODULY_CBA!$B$3:$M$23,12,0),0),0)</f>
        <v>0</v>
      </c>
      <c r="H60" s="565">
        <f>IFERROR(IF(VLOOKUP(H$2,MODULY_CBA!$B$3:$N$23,13,0)&lt;=$D60,SUM(H$5:H$14)*VLOOKUP(H$2,MODULY_CBA!$B$3:$M$23,12,0),0),0)</f>
        <v>0</v>
      </c>
      <c r="I60" s="565">
        <f>IFERROR(IF(VLOOKUP(I$2,MODULY_CBA!$B$3:$N$23,13,0)&lt;=$D60,SUM(I$5:I$14)*VLOOKUP(I$2,MODULY_CBA!$B$3:$M$23,12,0),0),0)</f>
        <v>0</v>
      </c>
      <c r="J60" s="565">
        <f>IFERROR(IF(VLOOKUP(J$2,MODULY_CBA!$B$3:$N$23,13,0)&lt;=$D60,SUM(J$5:J$14)*VLOOKUP(J$2,MODULY_CBA!$B$3:$M$23,12,0),0),0)</f>
        <v>0</v>
      </c>
      <c r="K60" s="565">
        <f>IFERROR(IF(VLOOKUP(K$2,MODULY_CBA!$B$3:$N$23,13,0)&lt;=$D60,SUM(K$5:K$14)*VLOOKUP(K$2,MODULY_CBA!$B$3:$M$23,12,0),0),0)</f>
        <v>0</v>
      </c>
      <c r="L60" s="565">
        <f>IFERROR(IF(VLOOKUP(L$2,MODULY_CBA!$B$3:$N$23,13,0)&lt;=$D60,SUM(L$5:L$14)*VLOOKUP(L$2,MODULY_CBA!$B$3:$M$23,12,0),0),0)</f>
        <v>0</v>
      </c>
      <c r="M60" s="565">
        <f>IFERROR(IF(VLOOKUP(M$2,MODULY_CBA!$B$3:$N$23,13,0)&lt;=$D60,SUM(M$5:M$14)*VLOOKUP(M$2,MODULY_CBA!$B$3:$M$23,12,0),0),0)</f>
        <v>0</v>
      </c>
      <c r="N60" s="565">
        <f>IFERROR(IF(VLOOKUP(N$2,MODULY_CBA!$B$3:$N$23,13,0)&lt;=$D60,SUM(N$5:N$14)*VLOOKUP(N$2,MODULY_CBA!$B$3:$M$23,12,0),0),0)</f>
        <v>0</v>
      </c>
      <c r="O60" s="565">
        <f>IFERROR(IF(VLOOKUP(O$2,MODULY_CBA!$B$3:$N$23,13,0)&lt;=$D60,SUM(O$5:O$14)*VLOOKUP(O$2,MODULY_CBA!$B$3:$M$23,12,0),0),0)</f>
        <v>0</v>
      </c>
      <c r="P60" s="565">
        <f>IFERROR(IF(VLOOKUP(P$2,MODULY_CBA!$B$3:$N$23,13,0)&lt;=$D60,SUM(P$5:P$14)*VLOOKUP(P$2,MODULY_CBA!$B$3:$M$23,12,0),0),0)</f>
        <v>0</v>
      </c>
      <c r="Q60" s="565">
        <f>IFERROR(IF(VLOOKUP(Q$2,MODULY_CBA!$B$3:$N$23,13,0)&lt;=$D60,SUM(Q$5:Q$14)*VLOOKUP(Q$2,MODULY_CBA!$B$3:$M$23,12,0),0),0)</f>
        <v>0</v>
      </c>
      <c r="R60" s="565">
        <f>IFERROR(IF(VLOOKUP(R$2,MODULY_CBA!$B$3:$N$23,13,0)&lt;=$D60,SUM(R$5:R$14)*VLOOKUP(R$2,MODULY_CBA!$B$3:$M$23,12,0),0),0)</f>
        <v>0</v>
      </c>
      <c r="S60" s="565">
        <f>IFERROR(IF(VLOOKUP(S$2,MODULY_CBA!$B$3:$N$23,13,0)&lt;=$D60,SUM(S$5:S$14)*VLOOKUP(S$2,MODULY_CBA!$B$3:$M$23,12,0),0),0)</f>
        <v>0</v>
      </c>
      <c r="T60" s="565">
        <f>IFERROR(IF(VLOOKUP(T$2,MODULY_CBA!$B$3:$N$23,13,0)&lt;=$D60,SUM(T$5:T$14)*VLOOKUP(T$2,MODULY_CBA!$B$3:$M$23,12,0),0),0)</f>
        <v>0</v>
      </c>
      <c r="U60" s="565">
        <f>IFERROR(IF(VLOOKUP(U$2,MODULY_CBA!$B$3:$N$23,13,0)&lt;=$D60,SUM(U$5:U$14)*VLOOKUP(U$2,MODULY_CBA!$B$3:$M$23,12,0),0),0)</f>
        <v>0</v>
      </c>
      <c r="V60" s="565">
        <f>IFERROR(IF(VLOOKUP(V$2,MODULY_CBA!$B$3:$N$23,13,0)&lt;=$D60,SUM(V$5:V$14)*VLOOKUP(V$2,MODULY_CBA!$B$3:$M$23,12,0),0),0)</f>
        <v>0</v>
      </c>
      <c r="W60" s="565">
        <f>IFERROR(IF(VLOOKUP(W$2,MODULY_CBA!$B$3:$N$23,13,0)&lt;=$D60,SUM(W$5:W$14)*VLOOKUP(W$2,MODULY_CBA!$B$3:$M$23,12,0),0),0)</f>
        <v>0</v>
      </c>
      <c r="X60" s="565">
        <f>IFERROR(IF(VLOOKUP(X$2,MODULY_CBA!$B$3:$N$23,13,0)&lt;=$D60,SUM(X$5:X$14)*VLOOKUP(X$2,MODULY_CBA!$B$3:$M$23,12,0),0),0)</f>
        <v>0</v>
      </c>
      <c r="Y60" s="565">
        <f>IFERROR(IF(VLOOKUP(Y$2,MODULY_CBA!$B$3:$N$23,13,0)&lt;=$D60,SUM(Y$5:Y$14)*VLOOKUP(Y$2,MODULY_CBA!$B$3:$M$23,12,0),0),0)</f>
        <v>0</v>
      </c>
      <c r="Z60" s="565">
        <f>IFERROR(IF(VLOOKUP(Z$2,MODULY_CBA!$B$3:$N$23,13,0)&lt;=$D60,SUM(Z$5:Z$14)*VLOOKUP(Z$2,MODULY_CBA!$B$3:$M$23,12,0),0),0)</f>
        <v>0</v>
      </c>
    </row>
    <row r="61" spans="1:26" outlineLevel="1">
      <c r="A61" s="807"/>
      <c r="B61" s="808"/>
      <c r="C61" s="808"/>
      <c r="D61" s="487">
        <v>6</v>
      </c>
      <c r="E61" s="68">
        <f t="shared" si="7"/>
        <v>0</v>
      </c>
      <c r="F61" s="565">
        <f>IFERROR(IF(VLOOKUP(F$2,MODULY_CBA!$B$3:$N$23,13,0)&lt;=$D61,SUM(F$5:F$14)*VLOOKUP(F$2,MODULY_CBA!$B$3:$M$23,12,0),0),0)</f>
        <v>0</v>
      </c>
      <c r="G61" s="565">
        <f>IFERROR(IF(VLOOKUP(G$2,MODULY_CBA!$B$3:$N$23,13,0)&lt;=$D61,SUM(G$5:G$14)*VLOOKUP(G$2,MODULY_CBA!$B$3:$M$23,12,0),0),0)</f>
        <v>0</v>
      </c>
      <c r="H61" s="565">
        <f>IFERROR(IF(VLOOKUP(H$2,MODULY_CBA!$B$3:$N$23,13,0)&lt;=$D61,SUM(H$5:H$14)*VLOOKUP(H$2,MODULY_CBA!$B$3:$M$23,12,0),0),0)</f>
        <v>0</v>
      </c>
      <c r="I61" s="565">
        <f>IFERROR(IF(VLOOKUP(I$2,MODULY_CBA!$B$3:$N$23,13,0)&lt;=$D61,SUM(I$5:I$14)*VLOOKUP(I$2,MODULY_CBA!$B$3:$M$23,12,0),0),0)</f>
        <v>0</v>
      </c>
      <c r="J61" s="565">
        <f>IFERROR(IF(VLOOKUP(J$2,MODULY_CBA!$B$3:$N$23,13,0)&lt;=$D61,SUM(J$5:J$14)*VLOOKUP(J$2,MODULY_CBA!$B$3:$M$23,12,0),0),0)</f>
        <v>0</v>
      </c>
      <c r="K61" s="565">
        <f>IFERROR(IF(VLOOKUP(K$2,MODULY_CBA!$B$3:$N$23,13,0)&lt;=$D61,SUM(K$5:K$14)*VLOOKUP(K$2,MODULY_CBA!$B$3:$M$23,12,0),0),0)</f>
        <v>0</v>
      </c>
      <c r="L61" s="565">
        <f>IFERROR(IF(VLOOKUP(L$2,MODULY_CBA!$B$3:$N$23,13,0)&lt;=$D61,SUM(L$5:L$14)*VLOOKUP(L$2,MODULY_CBA!$B$3:$M$23,12,0),0),0)</f>
        <v>0</v>
      </c>
      <c r="M61" s="565">
        <f>IFERROR(IF(VLOOKUP(M$2,MODULY_CBA!$B$3:$N$23,13,0)&lt;=$D61,SUM(M$5:M$14)*VLOOKUP(M$2,MODULY_CBA!$B$3:$M$23,12,0),0),0)</f>
        <v>0</v>
      </c>
      <c r="N61" s="565">
        <f>IFERROR(IF(VLOOKUP(N$2,MODULY_CBA!$B$3:$N$23,13,0)&lt;=$D61,SUM(N$5:N$14)*VLOOKUP(N$2,MODULY_CBA!$B$3:$M$23,12,0),0),0)</f>
        <v>0</v>
      </c>
      <c r="O61" s="565">
        <f>IFERROR(IF(VLOOKUP(O$2,MODULY_CBA!$B$3:$N$23,13,0)&lt;=$D61,SUM(O$5:O$14)*VLOOKUP(O$2,MODULY_CBA!$B$3:$M$23,12,0),0),0)</f>
        <v>0</v>
      </c>
      <c r="P61" s="565">
        <f>IFERROR(IF(VLOOKUP(P$2,MODULY_CBA!$B$3:$N$23,13,0)&lt;=$D61,SUM(P$5:P$14)*VLOOKUP(P$2,MODULY_CBA!$B$3:$M$23,12,0),0),0)</f>
        <v>0</v>
      </c>
      <c r="Q61" s="565">
        <f>IFERROR(IF(VLOOKUP(Q$2,MODULY_CBA!$B$3:$N$23,13,0)&lt;=$D61,SUM(Q$5:Q$14)*VLOOKUP(Q$2,MODULY_CBA!$B$3:$M$23,12,0),0),0)</f>
        <v>0</v>
      </c>
      <c r="R61" s="565">
        <f>IFERROR(IF(VLOOKUP(R$2,MODULY_CBA!$B$3:$N$23,13,0)&lt;=$D61,SUM(R$5:R$14)*VLOOKUP(R$2,MODULY_CBA!$B$3:$M$23,12,0),0),0)</f>
        <v>0</v>
      </c>
      <c r="S61" s="565">
        <f>IFERROR(IF(VLOOKUP(S$2,MODULY_CBA!$B$3:$N$23,13,0)&lt;=$D61,SUM(S$5:S$14)*VLOOKUP(S$2,MODULY_CBA!$B$3:$M$23,12,0),0),0)</f>
        <v>0</v>
      </c>
      <c r="T61" s="565">
        <f>IFERROR(IF(VLOOKUP(T$2,MODULY_CBA!$B$3:$N$23,13,0)&lt;=$D61,SUM(T$5:T$14)*VLOOKUP(T$2,MODULY_CBA!$B$3:$M$23,12,0),0),0)</f>
        <v>0</v>
      </c>
      <c r="U61" s="565">
        <f>IFERROR(IF(VLOOKUP(U$2,MODULY_CBA!$B$3:$N$23,13,0)&lt;=$D61,SUM(U$5:U$14)*VLOOKUP(U$2,MODULY_CBA!$B$3:$M$23,12,0),0),0)</f>
        <v>0</v>
      </c>
      <c r="V61" s="565">
        <f>IFERROR(IF(VLOOKUP(V$2,MODULY_CBA!$B$3:$N$23,13,0)&lt;=$D61,SUM(V$5:V$14)*VLOOKUP(V$2,MODULY_CBA!$B$3:$M$23,12,0),0),0)</f>
        <v>0</v>
      </c>
      <c r="W61" s="565">
        <f>IFERROR(IF(VLOOKUP(W$2,MODULY_CBA!$B$3:$N$23,13,0)&lt;=$D61,SUM(W$5:W$14)*VLOOKUP(W$2,MODULY_CBA!$B$3:$M$23,12,0),0),0)</f>
        <v>0</v>
      </c>
      <c r="X61" s="565">
        <f>IFERROR(IF(VLOOKUP(X$2,MODULY_CBA!$B$3:$N$23,13,0)&lt;=$D61,SUM(X$5:X$14)*VLOOKUP(X$2,MODULY_CBA!$B$3:$M$23,12,0),0),0)</f>
        <v>0</v>
      </c>
      <c r="Y61" s="565">
        <f>IFERROR(IF(VLOOKUP(Y$2,MODULY_CBA!$B$3:$N$23,13,0)&lt;=$D61,SUM(Y$5:Y$14)*VLOOKUP(Y$2,MODULY_CBA!$B$3:$M$23,12,0),0),0)</f>
        <v>0</v>
      </c>
      <c r="Z61" s="565">
        <f>IFERROR(IF(VLOOKUP(Z$2,MODULY_CBA!$B$3:$N$23,13,0)&lt;=$D61,SUM(Z$5:Z$14)*VLOOKUP(Z$2,MODULY_CBA!$B$3:$M$23,12,0),0),0)</f>
        <v>0</v>
      </c>
    </row>
    <row r="62" spans="1:26" outlineLevel="1">
      <c r="A62" s="807"/>
      <c r="B62" s="808"/>
      <c r="C62" s="808"/>
      <c r="D62" s="487">
        <v>7</v>
      </c>
      <c r="E62" s="68">
        <f t="shared" si="7"/>
        <v>0</v>
      </c>
      <c r="F62" s="565">
        <f>IFERROR(IF(VLOOKUP(F$2,MODULY_CBA!$B$3:$N$23,13,0)&lt;=$D62,SUM(F$5:F$14)*VLOOKUP(F$2,MODULY_CBA!$B$3:$M$23,12,0),0),0)</f>
        <v>0</v>
      </c>
      <c r="G62" s="565">
        <f>IFERROR(IF(VLOOKUP(G$2,MODULY_CBA!$B$3:$N$23,13,0)&lt;=$D62,SUM(G$5:G$14)*VLOOKUP(G$2,MODULY_CBA!$B$3:$M$23,12,0),0),0)</f>
        <v>0</v>
      </c>
      <c r="H62" s="565">
        <f>IFERROR(IF(VLOOKUP(H$2,MODULY_CBA!$B$3:$N$23,13,0)&lt;=$D62,SUM(H$5:H$14)*VLOOKUP(H$2,MODULY_CBA!$B$3:$M$23,12,0),0),0)</f>
        <v>0</v>
      </c>
      <c r="I62" s="565">
        <f>IFERROR(IF(VLOOKUP(I$2,MODULY_CBA!$B$3:$N$23,13,0)&lt;=$D62,SUM(I$5:I$14)*VLOOKUP(I$2,MODULY_CBA!$B$3:$M$23,12,0),0),0)</f>
        <v>0</v>
      </c>
      <c r="J62" s="565">
        <f>IFERROR(IF(VLOOKUP(J$2,MODULY_CBA!$B$3:$N$23,13,0)&lt;=$D62,SUM(J$5:J$14)*VLOOKUP(J$2,MODULY_CBA!$B$3:$M$23,12,0),0),0)</f>
        <v>0</v>
      </c>
      <c r="K62" s="565">
        <f>IFERROR(IF(VLOOKUP(K$2,MODULY_CBA!$B$3:$N$23,13,0)&lt;=$D62,SUM(K$5:K$14)*VLOOKUP(K$2,MODULY_CBA!$B$3:$M$23,12,0),0),0)</f>
        <v>0</v>
      </c>
      <c r="L62" s="565">
        <f>IFERROR(IF(VLOOKUP(L$2,MODULY_CBA!$B$3:$N$23,13,0)&lt;=$D62,SUM(L$5:L$14)*VLOOKUP(L$2,MODULY_CBA!$B$3:$M$23,12,0),0),0)</f>
        <v>0</v>
      </c>
      <c r="M62" s="565">
        <f>IFERROR(IF(VLOOKUP(M$2,MODULY_CBA!$B$3:$N$23,13,0)&lt;=$D62,SUM(M$5:M$14)*VLOOKUP(M$2,MODULY_CBA!$B$3:$M$23,12,0),0),0)</f>
        <v>0</v>
      </c>
      <c r="N62" s="565">
        <f>IFERROR(IF(VLOOKUP(N$2,MODULY_CBA!$B$3:$N$23,13,0)&lt;=$D62,SUM(N$5:N$14)*VLOOKUP(N$2,MODULY_CBA!$B$3:$M$23,12,0),0),0)</f>
        <v>0</v>
      </c>
      <c r="O62" s="565">
        <f>IFERROR(IF(VLOOKUP(O$2,MODULY_CBA!$B$3:$N$23,13,0)&lt;=$D62,SUM(O$5:O$14)*VLOOKUP(O$2,MODULY_CBA!$B$3:$M$23,12,0),0),0)</f>
        <v>0</v>
      </c>
      <c r="P62" s="565">
        <f>IFERROR(IF(VLOOKUP(P$2,MODULY_CBA!$B$3:$N$23,13,0)&lt;=$D62,SUM(P$5:P$14)*VLOOKUP(P$2,MODULY_CBA!$B$3:$M$23,12,0),0),0)</f>
        <v>0</v>
      </c>
      <c r="Q62" s="565">
        <f>IFERROR(IF(VLOOKUP(Q$2,MODULY_CBA!$B$3:$N$23,13,0)&lt;=$D62,SUM(Q$5:Q$14)*VLOOKUP(Q$2,MODULY_CBA!$B$3:$M$23,12,0),0),0)</f>
        <v>0</v>
      </c>
      <c r="R62" s="565">
        <f>IFERROR(IF(VLOOKUP(R$2,MODULY_CBA!$B$3:$N$23,13,0)&lt;=$D62,SUM(R$5:R$14)*VLOOKUP(R$2,MODULY_CBA!$B$3:$M$23,12,0),0),0)</f>
        <v>0</v>
      </c>
      <c r="S62" s="565">
        <f>IFERROR(IF(VLOOKUP(S$2,MODULY_CBA!$B$3:$N$23,13,0)&lt;=$D62,SUM(S$5:S$14)*VLOOKUP(S$2,MODULY_CBA!$B$3:$M$23,12,0),0),0)</f>
        <v>0</v>
      </c>
      <c r="T62" s="565">
        <f>IFERROR(IF(VLOOKUP(T$2,MODULY_CBA!$B$3:$N$23,13,0)&lt;=$D62,SUM(T$5:T$14)*VLOOKUP(T$2,MODULY_CBA!$B$3:$M$23,12,0),0),0)</f>
        <v>0</v>
      </c>
      <c r="U62" s="565">
        <f>IFERROR(IF(VLOOKUP(U$2,MODULY_CBA!$B$3:$N$23,13,0)&lt;=$D62,SUM(U$5:U$14)*VLOOKUP(U$2,MODULY_CBA!$B$3:$M$23,12,0),0),0)</f>
        <v>0</v>
      </c>
      <c r="V62" s="565">
        <f>IFERROR(IF(VLOOKUP(V$2,MODULY_CBA!$B$3:$N$23,13,0)&lt;=$D62,SUM(V$5:V$14)*VLOOKUP(V$2,MODULY_CBA!$B$3:$M$23,12,0),0),0)</f>
        <v>0</v>
      </c>
      <c r="W62" s="565">
        <f>IFERROR(IF(VLOOKUP(W$2,MODULY_CBA!$B$3:$N$23,13,0)&lt;=$D62,SUM(W$5:W$14)*VLOOKUP(W$2,MODULY_CBA!$B$3:$M$23,12,0),0),0)</f>
        <v>0</v>
      </c>
      <c r="X62" s="565">
        <f>IFERROR(IF(VLOOKUP(X$2,MODULY_CBA!$B$3:$N$23,13,0)&lt;=$D62,SUM(X$5:X$14)*VLOOKUP(X$2,MODULY_CBA!$B$3:$M$23,12,0),0),0)</f>
        <v>0</v>
      </c>
      <c r="Y62" s="565">
        <f>IFERROR(IF(VLOOKUP(Y$2,MODULY_CBA!$B$3:$N$23,13,0)&lt;=$D62,SUM(Y$5:Y$14)*VLOOKUP(Y$2,MODULY_CBA!$B$3:$M$23,12,0),0),0)</f>
        <v>0</v>
      </c>
      <c r="Z62" s="565">
        <f>IFERROR(IF(VLOOKUP(Z$2,MODULY_CBA!$B$3:$N$23,13,0)&lt;=$D62,SUM(Z$5:Z$14)*VLOOKUP(Z$2,MODULY_CBA!$B$3:$M$23,12,0),0),0)</f>
        <v>0</v>
      </c>
    </row>
    <row r="63" spans="1:26" outlineLevel="1">
      <c r="A63" s="807"/>
      <c r="B63" s="808"/>
      <c r="C63" s="808"/>
      <c r="D63" s="487">
        <v>8</v>
      </c>
      <c r="E63" s="68">
        <f t="shared" si="7"/>
        <v>0</v>
      </c>
      <c r="F63" s="565">
        <f>IFERROR(IF(VLOOKUP(F$2,MODULY_CBA!$B$3:$N$23,13,0)&lt;=$D63,SUM(F$5:F$14)*VLOOKUP(F$2,MODULY_CBA!$B$3:$M$23,12,0),0),0)</f>
        <v>0</v>
      </c>
      <c r="G63" s="565">
        <f>IFERROR(IF(VLOOKUP(G$2,MODULY_CBA!$B$3:$N$23,13,0)&lt;=$D63,SUM(G$5:G$14)*VLOOKUP(G$2,MODULY_CBA!$B$3:$M$23,12,0),0),0)</f>
        <v>0</v>
      </c>
      <c r="H63" s="565">
        <f>IFERROR(IF(VLOOKUP(H$2,MODULY_CBA!$B$3:$N$23,13,0)&lt;=$D63,SUM(H$5:H$14)*VLOOKUP(H$2,MODULY_CBA!$B$3:$M$23,12,0),0),0)</f>
        <v>0</v>
      </c>
      <c r="I63" s="565">
        <f>IFERROR(IF(VLOOKUP(I$2,MODULY_CBA!$B$3:$N$23,13,0)&lt;=$D63,SUM(I$5:I$14)*VLOOKUP(I$2,MODULY_CBA!$B$3:$M$23,12,0),0),0)</f>
        <v>0</v>
      </c>
      <c r="J63" s="565">
        <f>IFERROR(IF(VLOOKUP(J$2,MODULY_CBA!$B$3:$N$23,13,0)&lt;=$D63,SUM(J$5:J$14)*VLOOKUP(J$2,MODULY_CBA!$B$3:$M$23,12,0),0),0)</f>
        <v>0</v>
      </c>
      <c r="K63" s="565">
        <f>IFERROR(IF(VLOOKUP(K$2,MODULY_CBA!$B$3:$N$23,13,0)&lt;=$D63,SUM(K$5:K$14)*VLOOKUP(K$2,MODULY_CBA!$B$3:$M$23,12,0),0),0)</f>
        <v>0</v>
      </c>
      <c r="L63" s="565">
        <f>IFERROR(IF(VLOOKUP(L$2,MODULY_CBA!$B$3:$N$23,13,0)&lt;=$D63,SUM(L$5:L$14)*VLOOKUP(L$2,MODULY_CBA!$B$3:$M$23,12,0),0),0)</f>
        <v>0</v>
      </c>
      <c r="M63" s="565">
        <f>IFERROR(IF(VLOOKUP(M$2,MODULY_CBA!$B$3:$N$23,13,0)&lt;=$D63,SUM(M$5:M$14)*VLOOKUP(M$2,MODULY_CBA!$B$3:$M$23,12,0),0),0)</f>
        <v>0</v>
      </c>
      <c r="N63" s="565">
        <f>IFERROR(IF(VLOOKUP(N$2,MODULY_CBA!$B$3:$N$23,13,0)&lt;=$D63,SUM(N$5:N$14)*VLOOKUP(N$2,MODULY_CBA!$B$3:$M$23,12,0),0),0)</f>
        <v>0</v>
      </c>
      <c r="O63" s="565">
        <f>IFERROR(IF(VLOOKUP(O$2,MODULY_CBA!$B$3:$N$23,13,0)&lt;=$D63,SUM(O$5:O$14)*VLOOKUP(O$2,MODULY_CBA!$B$3:$M$23,12,0),0),0)</f>
        <v>0</v>
      </c>
      <c r="P63" s="565">
        <f>IFERROR(IF(VLOOKUP(P$2,MODULY_CBA!$B$3:$N$23,13,0)&lt;=$D63,SUM(P$5:P$14)*VLOOKUP(P$2,MODULY_CBA!$B$3:$M$23,12,0),0),0)</f>
        <v>0</v>
      </c>
      <c r="Q63" s="565">
        <f>IFERROR(IF(VLOOKUP(Q$2,MODULY_CBA!$B$3:$N$23,13,0)&lt;=$D63,SUM(Q$5:Q$14)*VLOOKUP(Q$2,MODULY_CBA!$B$3:$M$23,12,0),0),0)</f>
        <v>0</v>
      </c>
      <c r="R63" s="565">
        <f>IFERROR(IF(VLOOKUP(R$2,MODULY_CBA!$B$3:$N$23,13,0)&lt;=$D63,SUM(R$5:R$14)*VLOOKUP(R$2,MODULY_CBA!$B$3:$M$23,12,0),0),0)</f>
        <v>0</v>
      </c>
      <c r="S63" s="565">
        <f>IFERROR(IF(VLOOKUP(S$2,MODULY_CBA!$B$3:$N$23,13,0)&lt;=$D63,SUM(S$5:S$14)*VLOOKUP(S$2,MODULY_CBA!$B$3:$M$23,12,0),0),0)</f>
        <v>0</v>
      </c>
      <c r="T63" s="565">
        <f>IFERROR(IF(VLOOKUP(T$2,MODULY_CBA!$B$3:$N$23,13,0)&lt;=$D63,SUM(T$5:T$14)*VLOOKUP(T$2,MODULY_CBA!$B$3:$M$23,12,0),0),0)</f>
        <v>0</v>
      </c>
      <c r="U63" s="565">
        <f>IFERROR(IF(VLOOKUP(U$2,MODULY_CBA!$B$3:$N$23,13,0)&lt;=$D63,SUM(U$5:U$14)*VLOOKUP(U$2,MODULY_CBA!$B$3:$M$23,12,0),0),0)</f>
        <v>0</v>
      </c>
      <c r="V63" s="565">
        <f>IFERROR(IF(VLOOKUP(V$2,MODULY_CBA!$B$3:$N$23,13,0)&lt;=$D63,SUM(V$5:V$14)*VLOOKUP(V$2,MODULY_CBA!$B$3:$M$23,12,0),0),0)</f>
        <v>0</v>
      </c>
      <c r="W63" s="565">
        <f>IFERROR(IF(VLOOKUP(W$2,MODULY_CBA!$B$3:$N$23,13,0)&lt;=$D63,SUM(W$5:W$14)*VLOOKUP(W$2,MODULY_CBA!$B$3:$M$23,12,0),0),0)</f>
        <v>0</v>
      </c>
      <c r="X63" s="565">
        <f>IFERROR(IF(VLOOKUP(X$2,MODULY_CBA!$B$3:$N$23,13,0)&lt;=$D63,SUM(X$5:X$14)*VLOOKUP(X$2,MODULY_CBA!$B$3:$M$23,12,0),0),0)</f>
        <v>0</v>
      </c>
      <c r="Y63" s="565">
        <f>IFERROR(IF(VLOOKUP(Y$2,MODULY_CBA!$B$3:$N$23,13,0)&lt;=$D63,SUM(Y$5:Y$14)*VLOOKUP(Y$2,MODULY_CBA!$B$3:$M$23,12,0),0),0)</f>
        <v>0</v>
      </c>
      <c r="Z63" s="565">
        <f>IFERROR(IF(VLOOKUP(Z$2,MODULY_CBA!$B$3:$N$23,13,0)&lt;=$D63,SUM(Z$5:Z$14)*VLOOKUP(Z$2,MODULY_CBA!$B$3:$M$23,12,0),0),0)</f>
        <v>0</v>
      </c>
    </row>
    <row r="64" spans="1:26" outlineLevel="1">
      <c r="A64" s="807"/>
      <c r="B64" s="808"/>
      <c r="C64" s="808"/>
      <c r="D64" s="487">
        <v>9</v>
      </c>
      <c r="E64" s="68">
        <f t="shared" si="7"/>
        <v>0</v>
      </c>
      <c r="F64" s="565">
        <f>IFERROR(IF(VLOOKUP(F$2,MODULY_CBA!$B$3:$N$23,13,0)&lt;=$D64,SUM(F$5:F$14)*VLOOKUP(F$2,MODULY_CBA!$B$3:$M$23,12,0),0),0)</f>
        <v>0</v>
      </c>
      <c r="G64" s="565">
        <f>IFERROR(IF(VLOOKUP(G$2,MODULY_CBA!$B$3:$N$23,13,0)&lt;=$D64,SUM(G$5:G$14)*VLOOKUP(G$2,MODULY_CBA!$B$3:$M$23,12,0),0),0)</f>
        <v>0</v>
      </c>
      <c r="H64" s="565">
        <f>IFERROR(IF(VLOOKUP(H$2,MODULY_CBA!$B$3:$N$23,13,0)&lt;=$D64,SUM(H$5:H$14)*VLOOKUP(H$2,MODULY_CBA!$B$3:$M$23,12,0),0),0)</f>
        <v>0</v>
      </c>
      <c r="I64" s="565">
        <f>IFERROR(IF(VLOOKUP(I$2,MODULY_CBA!$B$3:$N$23,13,0)&lt;=$D64,SUM(I$5:I$14)*VLOOKUP(I$2,MODULY_CBA!$B$3:$M$23,12,0),0),0)</f>
        <v>0</v>
      </c>
      <c r="J64" s="565">
        <f>IFERROR(IF(VLOOKUP(J$2,MODULY_CBA!$B$3:$N$23,13,0)&lt;=$D64,SUM(J$5:J$14)*VLOOKUP(J$2,MODULY_CBA!$B$3:$M$23,12,0),0),0)</f>
        <v>0</v>
      </c>
      <c r="K64" s="565">
        <f>IFERROR(IF(VLOOKUP(K$2,MODULY_CBA!$B$3:$N$23,13,0)&lt;=$D64,SUM(K$5:K$14)*VLOOKUP(K$2,MODULY_CBA!$B$3:$M$23,12,0),0),0)</f>
        <v>0</v>
      </c>
      <c r="L64" s="565">
        <f>IFERROR(IF(VLOOKUP(L$2,MODULY_CBA!$B$3:$N$23,13,0)&lt;=$D64,SUM(L$5:L$14)*VLOOKUP(L$2,MODULY_CBA!$B$3:$M$23,12,0),0),0)</f>
        <v>0</v>
      </c>
      <c r="M64" s="565">
        <f>IFERROR(IF(VLOOKUP(M$2,MODULY_CBA!$B$3:$N$23,13,0)&lt;=$D64,SUM(M$5:M$14)*VLOOKUP(M$2,MODULY_CBA!$B$3:$M$23,12,0),0),0)</f>
        <v>0</v>
      </c>
      <c r="N64" s="565">
        <f>IFERROR(IF(VLOOKUP(N$2,MODULY_CBA!$B$3:$N$23,13,0)&lt;=$D64,SUM(N$5:N$14)*VLOOKUP(N$2,MODULY_CBA!$B$3:$M$23,12,0),0),0)</f>
        <v>0</v>
      </c>
      <c r="O64" s="565">
        <f>IFERROR(IF(VLOOKUP(O$2,MODULY_CBA!$B$3:$N$23,13,0)&lt;=$D64,SUM(O$5:O$14)*VLOOKUP(O$2,MODULY_CBA!$B$3:$M$23,12,0),0),0)</f>
        <v>0</v>
      </c>
      <c r="P64" s="565">
        <f>IFERROR(IF(VLOOKUP(P$2,MODULY_CBA!$B$3:$N$23,13,0)&lt;=$D64,SUM(P$5:P$14)*VLOOKUP(P$2,MODULY_CBA!$B$3:$M$23,12,0),0),0)</f>
        <v>0</v>
      </c>
      <c r="Q64" s="565">
        <f>IFERROR(IF(VLOOKUP(Q$2,MODULY_CBA!$B$3:$N$23,13,0)&lt;=$D64,SUM(Q$5:Q$14)*VLOOKUP(Q$2,MODULY_CBA!$B$3:$M$23,12,0),0),0)</f>
        <v>0</v>
      </c>
      <c r="R64" s="565">
        <f>IFERROR(IF(VLOOKUP(R$2,MODULY_CBA!$B$3:$N$23,13,0)&lt;=$D64,SUM(R$5:R$14)*VLOOKUP(R$2,MODULY_CBA!$B$3:$M$23,12,0),0),0)</f>
        <v>0</v>
      </c>
      <c r="S64" s="565">
        <f>IFERROR(IF(VLOOKUP(S$2,MODULY_CBA!$B$3:$N$23,13,0)&lt;=$D64,SUM(S$5:S$14)*VLOOKUP(S$2,MODULY_CBA!$B$3:$M$23,12,0),0),0)</f>
        <v>0</v>
      </c>
      <c r="T64" s="565">
        <f>IFERROR(IF(VLOOKUP(T$2,MODULY_CBA!$B$3:$N$23,13,0)&lt;=$D64,SUM(T$5:T$14)*VLOOKUP(T$2,MODULY_CBA!$B$3:$M$23,12,0),0),0)</f>
        <v>0</v>
      </c>
      <c r="U64" s="565">
        <f>IFERROR(IF(VLOOKUP(U$2,MODULY_CBA!$B$3:$N$23,13,0)&lt;=$D64,SUM(U$5:U$14)*VLOOKUP(U$2,MODULY_CBA!$B$3:$M$23,12,0),0),0)</f>
        <v>0</v>
      </c>
      <c r="V64" s="565">
        <f>IFERROR(IF(VLOOKUP(V$2,MODULY_CBA!$B$3:$N$23,13,0)&lt;=$D64,SUM(V$5:V$14)*VLOOKUP(V$2,MODULY_CBA!$B$3:$M$23,12,0),0),0)</f>
        <v>0</v>
      </c>
      <c r="W64" s="565">
        <f>IFERROR(IF(VLOOKUP(W$2,MODULY_CBA!$B$3:$N$23,13,0)&lt;=$D64,SUM(W$5:W$14)*VLOOKUP(W$2,MODULY_CBA!$B$3:$M$23,12,0),0),0)</f>
        <v>0</v>
      </c>
      <c r="X64" s="565">
        <f>IFERROR(IF(VLOOKUP(X$2,MODULY_CBA!$B$3:$N$23,13,0)&lt;=$D64,SUM(X$5:X$14)*VLOOKUP(X$2,MODULY_CBA!$B$3:$M$23,12,0),0),0)</f>
        <v>0</v>
      </c>
      <c r="Y64" s="565">
        <f>IFERROR(IF(VLOOKUP(Y$2,MODULY_CBA!$B$3:$N$23,13,0)&lt;=$D64,SUM(Y$5:Y$14)*VLOOKUP(Y$2,MODULY_CBA!$B$3:$M$23,12,0),0),0)</f>
        <v>0</v>
      </c>
      <c r="Z64" s="565">
        <f>IFERROR(IF(VLOOKUP(Z$2,MODULY_CBA!$B$3:$N$23,13,0)&lt;=$D64,SUM(Z$5:Z$14)*VLOOKUP(Z$2,MODULY_CBA!$B$3:$M$23,12,0),0),0)</f>
        <v>0</v>
      </c>
    </row>
    <row r="65" spans="1:28" ht="15.75" outlineLevel="1" thickBot="1">
      <c r="A65" s="807"/>
      <c r="B65" s="808"/>
      <c r="C65" s="808"/>
      <c r="D65" s="488">
        <v>10</v>
      </c>
      <c r="E65" s="69">
        <f t="shared" si="7"/>
        <v>0</v>
      </c>
      <c r="F65" s="565">
        <f>IFERROR(IF(VLOOKUP(F$2,MODULY_CBA!$B$3:$N$23,13,0)&lt;=$D65,SUM(F$5:F$14)*VLOOKUP(F$2,MODULY_CBA!$B$3:$M$23,12,0),0),0)</f>
        <v>0</v>
      </c>
      <c r="G65" s="565">
        <f>IFERROR(IF(VLOOKUP(G$2,MODULY_CBA!$B$3:$N$23,13,0)&lt;=$D65,SUM(G$5:G$14)*VLOOKUP(G$2,MODULY_CBA!$B$3:$M$23,12,0),0),0)</f>
        <v>0</v>
      </c>
      <c r="H65" s="565">
        <f>IFERROR(IF(VLOOKUP(H$2,MODULY_CBA!$B$3:$N$23,13,0)&lt;=$D65,SUM(H$5:H$14)*VLOOKUP(H$2,MODULY_CBA!$B$3:$M$23,12,0),0),0)</f>
        <v>0</v>
      </c>
      <c r="I65" s="565">
        <f>IFERROR(IF(VLOOKUP(I$2,MODULY_CBA!$B$3:$N$23,13,0)&lt;=$D65,SUM(I$5:I$14)*VLOOKUP(I$2,MODULY_CBA!$B$3:$M$23,12,0),0),0)</f>
        <v>0</v>
      </c>
      <c r="J65" s="565">
        <f>IFERROR(IF(VLOOKUP(J$2,MODULY_CBA!$B$3:$N$23,13,0)&lt;=$D65,SUM(J$5:J$14)*VLOOKUP(J$2,MODULY_CBA!$B$3:$M$23,12,0),0),0)</f>
        <v>0</v>
      </c>
      <c r="K65" s="565">
        <f>IFERROR(IF(VLOOKUP(K$2,MODULY_CBA!$B$3:$N$23,13,0)&lt;=$D65,SUM(K$5:K$14)*VLOOKUP(K$2,MODULY_CBA!$B$3:$M$23,12,0),0),0)</f>
        <v>0</v>
      </c>
      <c r="L65" s="565">
        <f>IFERROR(IF(VLOOKUP(L$2,MODULY_CBA!$B$3:$N$23,13,0)&lt;=$D65,SUM(L$5:L$14)*VLOOKUP(L$2,MODULY_CBA!$B$3:$M$23,12,0),0),0)</f>
        <v>0</v>
      </c>
      <c r="M65" s="565">
        <f>IFERROR(IF(VLOOKUP(M$2,MODULY_CBA!$B$3:$N$23,13,0)&lt;=$D65,SUM(M$5:M$14)*VLOOKUP(M$2,MODULY_CBA!$B$3:$M$23,12,0),0),0)</f>
        <v>0</v>
      </c>
      <c r="N65" s="565">
        <f>IFERROR(IF(VLOOKUP(N$2,MODULY_CBA!$B$3:$N$23,13,0)&lt;=$D65,SUM(N$5:N$14)*VLOOKUP(N$2,MODULY_CBA!$B$3:$M$23,12,0),0),0)</f>
        <v>0</v>
      </c>
      <c r="O65" s="565">
        <f>IFERROR(IF(VLOOKUP(O$2,MODULY_CBA!$B$3:$N$23,13,0)&lt;=$D65,SUM(O$5:O$14)*VLOOKUP(O$2,MODULY_CBA!$B$3:$M$23,12,0),0),0)</f>
        <v>0</v>
      </c>
      <c r="P65" s="565">
        <f>IFERROR(IF(VLOOKUP(P$2,MODULY_CBA!$B$3:$N$23,13,0)&lt;=$D65,SUM(P$5:P$14)*VLOOKUP(P$2,MODULY_CBA!$B$3:$M$23,12,0),0),0)</f>
        <v>0</v>
      </c>
      <c r="Q65" s="565">
        <f>IFERROR(IF(VLOOKUP(Q$2,MODULY_CBA!$B$3:$N$23,13,0)&lt;=$D65,SUM(Q$5:Q$14)*VLOOKUP(Q$2,MODULY_CBA!$B$3:$M$23,12,0),0),0)</f>
        <v>0</v>
      </c>
      <c r="R65" s="565">
        <f>IFERROR(IF(VLOOKUP(R$2,MODULY_CBA!$B$3:$N$23,13,0)&lt;=$D65,SUM(R$5:R$14)*VLOOKUP(R$2,MODULY_CBA!$B$3:$M$23,12,0),0),0)</f>
        <v>0</v>
      </c>
      <c r="S65" s="565">
        <f>IFERROR(IF(VLOOKUP(S$2,MODULY_CBA!$B$3:$N$23,13,0)&lt;=$D65,SUM(S$5:S$14)*VLOOKUP(S$2,MODULY_CBA!$B$3:$M$23,12,0),0),0)</f>
        <v>0</v>
      </c>
      <c r="T65" s="565">
        <f>IFERROR(IF(VLOOKUP(T$2,MODULY_CBA!$B$3:$N$23,13,0)&lt;=$D65,SUM(T$5:T$14)*VLOOKUP(T$2,MODULY_CBA!$B$3:$M$23,12,0),0),0)</f>
        <v>0</v>
      </c>
      <c r="U65" s="565">
        <f>IFERROR(IF(VLOOKUP(U$2,MODULY_CBA!$B$3:$N$23,13,0)&lt;=$D65,SUM(U$5:U$14)*VLOOKUP(U$2,MODULY_CBA!$B$3:$M$23,12,0),0),0)</f>
        <v>0</v>
      </c>
      <c r="V65" s="565">
        <f>IFERROR(IF(VLOOKUP(V$2,MODULY_CBA!$B$3:$N$23,13,0)&lt;=$D65,SUM(V$5:V$14)*VLOOKUP(V$2,MODULY_CBA!$B$3:$M$23,12,0),0),0)</f>
        <v>0</v>
      </c>
      <c r="W65" s="565">
        <f>IFERROR(IF(VLOOKUP(W$2,MODULY_CBA!$B$3:$N$23,13,0)&lt;=$D65,SUM(W$5:W$14)*VLOOKUP(W$2,MODULY_CBA!$B$3:$M$23,12,0),0),0)</f>
        <v>0</v>
      </c>
      <c r="X65" s="565">
        <f>IFERROR(IF(VLOOKUP(X$2,MODULY_CBA!$B$3:$N$23,13,0)&lt;=$D65,SUM(X$5:X$14)*VLOOKUP(X$2,MODULY_CBA!$B$3:$M$23,12,0),0),0)</f>
        <v>0</v>
      </c>
      <c r="Y65" s="565">
        <f>IFERROR(IF(VLOOKUP(Y$2,MODULY_CBA!$B$3:$N$23,13,0)&lt;=$D65,SUM(Y$5:Y$14)*VLOOKUP(Y$2,MODULY_CBA!$B$3:$M$23,12,0),0),0)</f>
        <v>0</v>
      </c>
      <c r="Z65" s="565">
        <f>IFERROR(IF(VLOOKUP(Z$2,MODULY_CBA!$B$3:$N$23,13,0)&lt;=$D65,SUM(Z$5:Z$14)*VLOOKUP(Z$2,MODULY_CBA!$B$3:$M$23,12,0),0),0)</f>
        <v>0</v>
      </c>
    </row>
    <row r="66" spans="1:28" outlineLevel="1">
      <c r="A66" s="807" t="s">
        <v>94</v>
      </c>
      <c r="B66" s="807" t="s">
        <v>92</v>
      </c>
      <c r="C66" s="808">
        <v>718002</v>
      </c>
      <c r="D66" s="486">
        <v>1</v>
      </c>
      <c r="E66" s="68">
        <f t="shared" si="7"/>
        <v>0</v>
      </c>
      <c r="F66" s="567">
        <v>0</v>
      </c>
      <c r="G66" s="567">
        <v>0</v>
      </c>
      <c r="H66" s="567">
        <v>0</v>
      </c>
      <c r="I66" s="567">
        <v>0</v>
      </c>
      <c r="J66" s="567">
        <v>0</v>
      </c>
      <c r="K66" s="567">
        <v>0</v>
      </c>
      <c r="L66" s="567">
        <v>0</v>
      </c>
      <c r="M66" s="567">
        <v>0</v>
      </c>
      <c r="N66" s="567">
        <v>0</v>
      </c>
      <c r="O66" s="567">
        <v>0</v>
      </c>
      <c r="P66" s="567">
        <v>0</v>
      </c>
      <c r="Q66" s="567">
        <v>0</v>
      </c>
      <c r="R66" s="567">
        <v>0</v>
      </c>
      <c r="S66" s="567">
        <v>0</v>
      </c>
      <c r="T66" s="567">
        <v>0</v>
      </c>
      <c r="U66" s="567">
        <v>0</v>
      </c>
      <c r="V66" s="567">
        <v>0</v>
      </c>
      <c r="W66" s="567">
        <v>0</v>
      </c>
      <c r="X66" s="567">
        <v>0</v>
      </c>
      <c r="Y66" s="567">
        <v>0</v>
      </c>
      <c r="Z66" s="567">
        <v>0</v>
      </c>
    </row>
    <row r="67" spans="1:28" outlineLevel="1">
      <c r="A67" s="807"/>
      <c r="B67" s="808"/>
      <c r="C67" s="808"/>
      <c r="D67" s="487">
        <v>2</v>
      </c>
      <c r="E67" s="68">
        <f t="shared" si="7"/>
        <v>0</v>
      </c>
      <c r="F67" s="568">
        <v>0</v>
      </c>
      <c r="G67" s="568">
        <v>0</v>
      </c>
      <c r="H67" s="568">
        <v>0</v>
      </c>
      <c r="I67" s="568">
        <v>0</v>
      </c>
      <c r="J67" s="568">
        <v>0</v>
      </c>
      <c r="K67" s="568">
        <v>0</v>
      </c>
      <c r="L67" s="568">
        <v>0</v>
      </c>
      <c r="M67" s="568">
        <v>0</v>
      </c>
      <c r="N67" s="568">
        <v>0</v>
      </c>
      <c r="O67" s="568">
        <v>0</v>
      </c>
      <c r="P67" s="568">
        <v>0</v>
      </c>
      <c r="Q67" s="568">
        <v>0</v>
      </c>
      <c r="R67" s="568">
        <v>0</v>
      </c>
      <c r="S67" s="568">
        <v>0</v>
      </c>
      <c r="T67" s="568">
        <v>0</v>
      </c>
      <c r="U67" s="568">
        <v>0</v>
      </c>
      <c r="V67" s="568">
        <v>0</v>
      </c>
      <c r="W67" s="568">
        <v>0</v>
      </c>
      <c r="X67" s="568">
        <v>0</v>
      </c>
      <c r="Y67" s="568">
        <v>0</v>
      </c>
      <c r="Z67" s="568">
        <v>0</v>
      </c>
    </row>
    <row r="68" spans="1:28" outlineLevel="1">
      <c r="A68" s="807"/>
      <c r="B68" s="808"/>
      <c r="C68" s="808"/>
      <c r="D68" s="487">
        <v>3</v>
      </c>
      <c r="E68" s="68">
        <f t="shared" si="7"/>
        <v>0</v>
      </c>
      <c r="F68" s="568">
        <v>0</v>
      </c>
      <c r="G68" s="568">
        <v>0</v>
      </c>
      <c r="H68" s="568">
        <v>0</v>
      </c>
      <c r="I68" s="568">
        <v>0</v>
      </c>
      <c r="J68" s="568">
        <v>0</v>
      </c>
      <c r="K68" s="568">
        <v>0</v>
      </c>
      <c r="L68" s="568">
        <v>0</v>
      </c>
      <c r="M68" s="568">
        <v>0</v>
      </c>
      <c r="N68" s="568">
        <v>0</v>
      </c>
      <c r="O68" s="568">
        <v>0</v>
      </c>
      <c r="P68" s="568">
        <v>0</v>
      </c>
      <c r="Q68" s="568">
        <v>0</v>
      </c>
      <c r="R68" s="568">
        <v>0</v>
      </c>
      <c r="S68" s="568">
        <v>0</v>
      </c>
      <c r="T68" s="568">
        <v>0</v>
      </c>
      <c r="U68" s="568">
        <v>0</v>
      </c>
      <c r="V68" s="568">
        <v>0</v>
      </c>
      <c r="W68" s="568">
        <v>0</v>
      </c>
      <c r="X68" s="568">
        <v>0</v>
      </c>
      <c r="Y68" s="568">
        <v>0</v>
      </c>
      <c r="Z68" s="568">
        <v>0</v>
      </c>
    </row>
    <row r="69" spans="1:28" outlineLevel="1">
      <c r="A69" s="807"/>
      <c r="B69" s="808"/>
      <c r="C69" s="808"/>
      <c r="D69" s="487">
        <v>4</v>
      </c>
      <c r="E69" s="68">
        <f t="shared" si="7"/>
        <v>0</v>
      </c>
      <c r="F69" s="568">
        <v>0</v>
      </c>
      <c r="G69" s="568">
        <v>0</v>
      </c>
      <c r="H69" s="568">
        <v>0</v>
      </c>
      <c r="I69" s="568">
        <v>0</v>
      </c>
      <c r="J69" s="568">
        <v>0</v>
      </c>
      <c r="K69" s="568">
        <v>0</v>
      </c>
      <c r="L69" s="568">
        <v>0</v>
      </c>
      <c r="M69" s="568">
        <v>0</v>
      </c>
      <c r="N69" s="568">
        <v>0</v>
      </c>
      <c r="O69" s="568">
        <v>0</v>
      </c>
      <c r="P69" s="568">
        <v>0</v>
      </c>
      <c r="Q69" s="568">
        <v>0</v>
      </c>
      <c r="R69" s="568">
        <v>0</v>
      </c>
      <c r="S69" s="568">
        <v>0</v>
      </c>
      <c r="T69" s="568">
        <v>0</v>
      </c>
      <c r="U69" s="568">
        <v>0</v>
      </c>
      <c r="V69" s="568">
        <v>0</v>
      </c>
      <c r="W69" s="568">
        <v>0</v>
      </c>
      <c r="X69" s="568">
        <v>0</v>
      </c>
      <c r="Y69" s="568">
        <v>0</v>
      </c>
      <c r="Z69" s="568">
        <v>0</v>
      </c>
    </row>
    <row r="70" spans="1:28" outlineLevel="1">
      <c r="A70" s="807"/>
      <c r="B70" s="808"/>
      <c r="C70" s="808"/>
      <c r="D70" s="487">
        <v>5</v>
      </c>
      <c r="E70" s="68">
        <f t="shared" si="7"/>
        <v>0</v>
      </c>
      <c r="F70" s="568">
        <v>0</v>
      </c>
      <c r="G70" s="568">
        <v>0</v>
      </c>
      <c r="H70" s="568">
        <v>0</v>
      </c>
      <c r="I70" s="568">
        <v>0</v>
      </c>
      <c r="J70" s="568">
        <v>0</v>
      </c>
      <c r="K70" s="568">
        <v>0</v>
      </c>
      <c r="L70" s="568">
        <v>0</v>
      </c>
      <c r="M70" s="568">
        <v>0</v>
      </c>
      <c r="N70" s="568">
        <v>0</v>
      </c>
      <c r="O70" s="568">
        <v>0</v>
      </c>
      <c r="P70" s="568">
        <v>0</v>
      </c>
      <c r="Q70" s="568">
        <v>0</v>
      </c>
      <c r="R70" s="568">
        <v>0</v>
      </c>
      <c r="S70" s="568">
        <v>0</v>
      </c>
      <c r="T70" s="568">
        <v>0</v>
      </c>
      <c r="U70" s="568">
        <v>0</v>
      </c>
      <c r="V70" s="568">
        <v>0</v>
      </c>
      <c r="W70" s="568">
        <v>0</v>
      </c>
      <c r="X70" s="568">
        <v>0</v>
      </c>
      <c r="Y70" s="568">
        <v>0</v>
      </c>
      <c r="Z70" s="568">
        <v>0</v>
      </c>
    </row>
    <row r="71" spans="1:28" outlineLevel="1">
      <c r="A71" s="807"/>
      <c r="B71" s="808"/>
      <c r="C71" s="808"/>
      <c r="D71" s="487">
        <v>6</v>
      </c>
      <c r="E71" s="68">
        <f t="shared" si="7"/>
        <v>0</v>
      </c>
      <c r="F71" s="568">
        <v>0</v>
      </c>
      <c r="G71" s="568">
        <v>0</v>
      </c>
      <c r="H71" s="568">
        <v>0</v>
      </c>
      <c r="I71" s="568">
        <v>0</v>
      </c>
      <c r="J71" s="568">
        <v>0</v>
      </c>
      <c r="K71" s="568">
        <v>0</v>
      </c>
      <c r="L71" s="568">
        <v>0</v>
      </c>
      <c r="M71" s="568">
        <v>0</v>
      </c>
      <c r="N71" s="568">
        <v>0</v>
      </c>
      <c r="O71" s="568">
        <v>0</v>
      </c>
      <c r="P71" s="568">
        <v>0</v>
      </c>
      <c r="Q71" s="568">
        <v>0</v>
      </c>
      <c r="R71" s="568">
        <v>0</v>
      </c>
      <c r="S71" s="568">
        <v>0</v>
      </c>
      <c r="T71" s="568">
        <v>0</v>
      </c>
      <c r="U71" s="568">
        <v>0</v>
      </c>
      <c r="V71" s="568">
        <v>0</v>
      </c>
      <c r="W71" s="568">
        <v>0</v>
      </c>
      <c r="X71" s="568">
        <v>0</v>
      </c>
      <c r="Y71" s="568">
        <v>0</v>
      </c>
      <c r="Z71" s="568">
        <v>0</v>
      </c>
    </row>
    <row r="72" spans="1:28" outlineLevel="1">
      <c r="A72" s="807"/>
      <c r="B72" s="808"/>
      <c r="C72" s="808"/>
      <c r="D72" s="487">
        <v>7</v>
      </c>
      <c r="E72" s="68">
        <f t="shared" si="7"/>
        <v>0</v>
      </c>
      <c r="F72" s="568">
        <v>0</v>
      </c>
      <c r="G72" s="568">
        <v>0</v>
      </c>
      <c r="H72" s="568">
        <v>0</v>
      </c>
      <c r="I72" s="568">
        <v>0</v>
      </c>
      <c r="J72" s="568">
        <v>0</v>
      </c>
      <c r="K72" s="568">
        <v>0</v>
      </c>
      <c r="L72" s="568">
        <v>0</v>
      </c>
      <c r="M72" s="568">
        <v>0</v>
      </c>
      <c r="N72" s="568">
        <v>0</v>
      </c>
      <c r="O72" s="568">
        <v>0</v>
      </c>
      <c r="P72" s="568">
        <v>0</v>
      </c>
      <c r="Q72" s="568">
        <v>0</v>
      </c>
      <c r="R72" s="568">
        <v>0</v>
      </c>
      <c r="S72" s="568">
        <v>0</v>
      </c>
      <c r="T72" s="568">
        <v>0</v>
      </c>
      <c r="U72" s="568">
        <v>0</v>
      </c>
      <c r="V72" s="568">
        <v>0</v>
      </c>
      <c r="W72" s="568">
        <v>0</v>
      </c>
      <c r="X72" s="568">
        <v>0</v>
      </c>
      <c r="Y72" s="568">
        <v>0</v>
      </c>
      <c r="Z72" s="568">
        <v>0</v>
      </c>
    </row>
    <row r="73" spans="1:28" outlineLevel="1">
      <c r="A73" s="807"/>
      <c r="B73" s="808"/>
      <c r="C73" s="808"/>
      <c r="D73" s="487">
        <v>8</v>
      </c>
      <c r="E73" s="68">
        <f t="shared" si="7"/>
        <v>0</v>
      </c>
      <c r="F73" s="568">
        <v>0</v>
      </c>
      <c r="G73" s="568">
        <v>0</v>
      </c>
      <c r="H73" s="568">
        <v>0</v>
      </c>
      <c r="I73" s="568">
        <v>0</v>
      </c>
      <c r="J73" s="568">
        <v>0</v>
      </c>
      <c r="K73" s="568">
        <v>0</v>
      </c>
      <c r="L73" s="568">
        <v>0</v>
      </c>
      <c r="M73" s="568">
        <v>0</v>
      </c>
      <c r="N73" s="568">
        <v>0</v>
      </c>
      <c r="O73" s="568">
        <v>0</v>
      </c>
      <c r="P73" s="568">
        <v>0</v>
      </c>
      <c r="Q73" s="568">
        <v>0</v>
      </c>
      <c r="R73" s="568">
        <v>0</v>
      </c>
      <c r="S73" s="568">
        <v>0</v>
      </c>
      <c r="T73" s="568">
        <v>0</v>
      </c>
      <c r="U73" s="568">
        <v>0</v>
      </c>
      <c r="V73" s="568">
        <v>0</v>
      </c>
      <c r="W73" s="568">
        <v>0</v>
      </c>
      <c r="X73" s="568">
        <v>0</v>
      </c>
      <c r="Y73" s="568">
        <v>0</v>
      </c>
      <c r="Z73" s="568">
        <v>0</v>
      </c>
    </row>
    <row r="74" spans="1:28" outlineLevel="1">
      <c r="A74" s="807"/>
      <c r="B74" s="808"/>
      <c r="C74" s="808"/>
      <c r="D74" s="487">
        <v>9</v>
      </c>
      <c r="E74" s="68">
        <f t="shared" si="7"/>
        <v>0</v>
      </c>
      <c r="F74" s="568">
        <v>0</v>
      </c>
      <c r="G74" s="568">
        <v>0</v>
      </c>
      <c r="H74" s="568">
        <v>0</v>
      </c>
      <c r="I74" s="568">
        <v>0</v>
      </c>
      <c r="J74" s="568">
        <v>0</v>
      </c>
      <c r="K74" s="568">
        <v>0</v>
      </c>
      <c r="L74" s="568">
        <v>0</v>
      </c>
      <c r="M74" s="568">
        <v>0</v>
      </c>
      <c r="N74" s="568">
        <v>0</v>
      </c>
      <c r="O74" s="568">
        <v>0</v>
      </c>
      <c r="P74" s="568">
        <v>0</v>
      </c>
      <c r="Q74" s="568">
        <v>0</v>
      </c>
      <c r="R74" s="568">
        <v>0</v>
      </c>
      <c r="S74" s="568">
        <v>0</v>
      </c>
      <c r="T74" s="568">
        <v>0</v>
      </c>
      <c r="U74" s="568">
        <v>0</v>
      </c>
      <c r="V74" s="568">
        <v>0</v>
      </c>
      <c r="W74" s="568">
        <v>0</v>
      </c>
      <c r="X74" s="568">
        <v>0</v>
      </c>
      <c r="Y74" s="568">
        <v>0</v>
      </c>
      <c r="Z74" s="568">
        <v>0</v>
      </c>
    </row>
    <row r="75" spans="1:28" ht="15.75" outlineLevel="1" thickBot="1">
      <c r="A75" s="807"/>
      <c r="B75" s="808"/>
      <c r="C75" s="808"/>
      <c r="D75" s="488">
        <v>10</v>
      </c>
      <c r="E75" s="69">
        <f t="shared" si="7"/>
        <v>0</v>
      </c>
      <c r="F75" s="572">
        <v>0</v>
      </c>
      <c r="G75" s="572">
        <v>0</v>
      </c>
      <c r="H75" s="572">
        <v>0</v>
      </c>
      <c r="I75" s="572">
        <v>0</v>
      </c>
      <c r="J75" s="572">
        <v>0</v>
      </c>
      <c r="K75" s="572">
        <v>0</v>
      </c>
      <c r="L75" s="572">
        <v>0</v>
      </c>
      <c r="M75" s="572">
        <v>0</v>
      </c>
      <c r="N75" s="572">
        <v>0</v>
      </c>
      <c r="O75" s="572">
        <v>0</v>
      </c>
      <c r="P75" s="572">
        <v>0</v>
      </c>
      <c r="Q75" s="572">
        <v>0</v>
      </c>
      <c r="R75" s="572">
        <v>0</v>
      </c>
      <c r="S75" s="572">
        <v>0</v>
      </c>
      <c r="T75" s="572">
        <v>0</v>
      </c>
      <c r="U75" s="572">
        <v>0</v>
      </c>
      <c r="V75" s="572">
        <v>0</v>
      </c>
      <c r="W75" s="572">
        <v>0</v>
      </c>
      <c r="X75" s="572">
        <v>0</v>
      </c>
      <c r="Y75" s="572">
        <v>0</v>
      </c>
      <c r="Z75" s="572">
        <v>0</v>
      </c>
    </row>
    <row r="76" spans="1:28" outlineLevel="1">
      <c r="A76" s="807" t="s">
        <v>95</v>
      </c>
      <c r="B76" s="808"/>
      <c r="C76" s="808"/>
      <c r="D76" s="486">
        <v>1</v>
      </c>
      <c r="E76" s="68">
        <f t="shared" si="7"/>
        <v>0</v>
      </c>
      <c r="F76" s="567">
        <v>0</v>
      </c>
      <c r="G76" s="567">
        <v>0</v>
      </c>
      <c r="H76" s="567">
        <v>0</v>
      </c>
      <c r="I76" s="567">
        <v>0</v>
      </c>
      <c r="J76" s="567">
        <v>0</v>
      </c>
      <c r="K76" s="567">
        <v>0</v>
      </c>
      <c r="L76" s="567">
        <v>0</v>
      </c>
      <c r="M76" s="567">
        <v>0</v>
      </c>
      <c r="N76" s="567">
        <v>0</v>
      </c>
      <c r="O76" s="567">
        <v>0</v>
      </c>
      <c r="P76" s="567">
        <v>0</v>
      </c>
      <c r="Q76" s="567">
        <v>0</v>
      </c>
      <c r="R76" s="567">
        <v>0</v>
      </c>
      <c r="S76" s="567">
        <v>0</v>
      </c>
      <c r="T76" s="567">
        <v>0</v>
      </c>
      <c r="U76" s="567">
        <v>0</v>
      </c>
      <c r="V76" s="567">
        <v>0</v>
      </c>
      <c r="W76" s="567">
        <v>0</v>
      </c>
      <c r="X76" s="567">
        <v>0</v>
      </c>
      <c r="Y76" s="567">
        <v>0</v>
      </c>
      <c r="Z76" s="567">
        <v>0</v>
      </c>
      <c r="AB76" s="366"/>
    </row>
    <row r="77" spans="1:28" outlineLevel="1">
      <c r="A77" s="807"/>
      <c r="B77" s="808"/>
      <c r="C77" s="808"/>
      <c r="D77" s="487">
        <v>2</v>
      </c>
      <c r="E77" s="68">
        <f t="shared" si="7"/>
        <v>0</v>
      </c>
      <c r="F77" s="568">
        <v>0</v>
      </c>
      <c r="G77" s="568">
        <v>0</v>
      </c>
      <c r="H77" s="568">
        <v>0</v>
      </c>
      <c r="I77" s="568">
        <v>0</v>
      </c>
      <c r="J77" s="568">
        <v>0</v>
      </c>
      <c r="K77" s="568">
        <v>0</v>
      </c>
      <c r="L77" s="568">
        <v>0</v>
      </c>
      <c r="M77" s="568">
        <v>0</v>
      </c>
      <c r="N77" s="568">
        <v>0</v>
      </c>
      <c r="O77" s="568">
        <v>0</v>
      </c>
      <c r="P77" s="568">
        <v>0</v>
      </c>
      <c r="Q77" s="568">
        <v>0</v>
      </c>
      <c r="R77" s="568">
        <v>0</v>
      </c>
      <c r="S77" s="568">
        <v>0</v>
      </c>
      <c r="T77" s="568">
        <v>0</v>
      </c>
      <c r="U77" s="568">
        <v>0</v>
      </c>
      <c r="V77" s="568">
        <v>0</v>
      </c>
      <c r="W77" s="568">
        <v>0</v>
      </c>
      <c r="X77" s="568">
        <v>0</v>
      </c>
      <c r="Y77" s="568">
        <v>0</v>
      </c>
      <c r="Z77" s="568">
        <v>0</v>
      </c>
      <c r="AB77" s="366"/>
    </row>
    <row r="78" spans="1:28" outlineLevel="1">
      <c r="A78" s="807"/>
      <c r="B78" s="808"/>
      <c r="C78" s="808"/>
      <c r="D78" s="487">
        <v>3</v>
      </c>
      <c r="E78" s="68">
        <f t="shared" si="7"/>
        <v>0</v>
      </c>
      <c r="F78" s="568">
        <v>0</v>
      </c>
      <c r="G78" s="568">
        <v>0</v>
      </c>
      <c r="H78" s="568">
        <v>0</v>
      </c>
      <c r="I78" s="568">
        <v>0</v>
      </c>
      <c r="J78" s="568">
        <v>0</v>
      </c>
      <c r="K78" s="568">
        <v>0</v>
      </c>
      <c r="L78" s="568">
        <v>0</v>
      </c>
      <c r="M78" s="568">
        <v>0</v>
      </c>
      <c r="N78" s="568">
        <v>0</v>
      </c>
      <c r="O78" s="568">
        <v>0</v>
      </c>
      <c r="P78" s="568">
        <v>0</v>
      </c>
      <c r="Q78" s="568">
        <v>0</v>
      </c>
      <c r="R78" s="568">
        <v>0</v>
      </c>
      <c r="S78" s="568">
        <v>0</v>
      </c>
      <c r="T78" s="568">
        <v>0</v>
      </c>
      <c r="U78" s="568">
        <v>0</v>
      </c>
      <c r="V78" s="568">
        <v>0</v>
      </c>
      <c r="W78" s="568">
        <v>0</v>
      </c>
      <c r="X78" s="568">
        <v>0</v>
      </c>
      <c r="Y78" s="568">
        <v>0</v>
      </c>
      <c r="Z78" s="568">
        <v>0</v>
      </c>
      <c r="AB78" s="366"/>
    </row>
    <row r="79" spans="1:28" outlineLevel="1">
      <c r="A79" s="807"/>
      <c r="B79" s="808"/>
      <c r="C79" s="808"/>
      <c r="D79" s="487">
        <v>4</v>
      </c>
      <c r="E79" s="68">
        <f t="shared" si="7"/>
        <v>0</v>
      </c>
      <c r="F79" s="568">
        <v>0</v>
      </c>
      <c r="G79" s="568">
        <v>0</v>
      </c>
      <c r="H79" s="568">
        <v>0</v>
      </c>
      <c r="I79" s="568">
        <v>0</v>
      </c>
      <c r="J79" s="568">
        <v>0</v>
      </c>
      <c r="K79" s="568">
        <v>0</v>
      </c>
      <c r="L79" s="568">
        <v>0</v>
      </c>
      <c r="M79" s="568">
        <v>0</v>
      </c>
      <c r="N79" s="568">
        <v>0</v>
      </c>
      <c r="O79" s="568">
        <v>0</v>
      </c>
      <c r="P79" s="568">
        <v>0</v>
      </c>
      <c r="Q79" s="568">
        <v>0</v>
      </c>
      <c r="R79" s="568">
        <v>0</v>
      </c>
      <c r="S79" s="568">
        <v>0</v>
      </c>
      <c r="T79" s="568">
        <v>0</v>
      </c>
      <c r="U79" s="568">
        <v>0</v>
      </c>
      <c r="V79" s="568">
        <v>0</v>
      </c>
      <c r="W79" s="568">
        <v>0</v>
      </c>
      <c r="X79" s="568">
        <v>0</v>
      </c>
      <c r="Y79" s="568">
        <v>0</v>
      </c>
      <c r="Z79" s="568">
        <v>0</v>
      </c>
    </row>
    <row r="80" spans="1:28" outlineLevel="1">
      <c r="A80" s="807"/>
      <c r="B80" s="808"/>
      <c r="C80" s="808"/>
      <c r="D80" s="487">
        <v>5</v>
      </c>
      <c r="E80" s="68">
        <f t="shared" si="7"/>
        <v>0</v>
      </c>
      <c r="F80" s="568">
        <v>0</v>
      </c>
      <c r="G80" s="568">
        <v>0</v>
      </c>
      <c r="H80" s="568">
        <v>0</v>
      </c>
      <c r="I80" s="568">
        <v>0</v>
      </c>
      <c r="J80" s="568">
        <v>0</v>
      </c>
      <c r="K80" s="568">
        <v>0</v>
      </c>
      <c r="L80" s="568">
        <v>0</v>
      </c>
      <c r="M80" s="568">
        <v>0</v>
      </c>
      <c r="N80" s="568">
        <v>0</v>
      </c>
      <c r="O80" s="568">
        <v>0</v>
      </c>
      <c r="P80" s="568">
        <v>0</v>
      </c>
      <c r="Q80" s="568">
        <v>0</v>
      </c>
      <c r="R80" s="568">
        <v>0</v>
      </c>
      <c r="S80" s="568">
        <v>0</v>
      </c>
      <c r="T80" s="568">
        <v>0</v>
      </c>
      <c r="U80" s="568">
        <v>0</v>
      </c>
      <c r="V80" s="568">
        <v>0</v>
      </c>
      <c r="W80" s="568">
        <v>0</v>
      </c>
      <c r="X80" s="568">
        <v>0</v>
      </c>
      <c r="Y80" s="568">
        <v>0</v>
      </c>
      <c r="Z80" s="568">
        <v>0</v>
      </c>
    </row>
    <row r="81" spans="1:26" outlineLevel="1">
      <c r="A81" s="807"/>
      <c r="B81" s="808"/>
      <c r="C81" s="808"/>
      <c r="D81" s="487">
        <v>6</v>
      </c>
      <c r="E81" s="68">
        <f t="shared" si="7"/>
        <v>0</v>
      </c>
      <c r="F81" s="568">
        <v>0</v>
      </c>
      <c r="G81" s="568">
        <v>0</v>
      </c>
      <c r="H81" s="568">
        <v>0</v>
      </c>
      <c r="I81" s="568">
        <v>0</v>
      </c>
      <c r="J81" s="568">
        <v>0</v>
      </c>
      <c r="K81" s="568">
        <v>0</v>
      </c>
      <c r="L81" s="568">
        <v>0</v>
      </c>
      <c r="M81" s="568">
        <v>0</v>
      </c>
      <c r="N81" s="568">
        <v>0</v>
      </c>
      <c r="O81" s="568">
        <v>0</v>
      </c>
      <c r="P81" s="568">
        <v>0</v>
      </c>
      <c r="Q81" s="568">
        <v>0</v>
      </c>
      <c r="R81" s="568">
        <v>0</v>
      </c>
      <c r="S81" s="568">
        <v>0</v>
      </c>
      <c r="T81" s="568">
        <v>0</v>
      </c>
      <c r="U81" s="568">
        <v>0</v>
      </c>
      <c r="V81" s="568">
        <v>0</v>
      </c>
      <c r="W81" s="568">
        <v>0</v>
      </c>
      <c r="X81" s="568">
        <v>0</v>
      </c>
      <c r="Y81" s="568">
        <v>0</v>
      </c>
      <c r="Z81" s="568">
        <v>0</v>
      </c>
    </row>
    <row r="82" spans="1:26" outlineLevel="1">
      <c r="A82" s="807"/>
      <c r="B82" s="808"/>
      <c r="C82" s="808"/>
      <c r="D82" s="487">
        <v>7</v>
      </c>
      <c r="E82" s="68">
        <f t="shared" si="7"/>
        <v>0</v>
      </c>
      <c r="F82" s="568">
        <v>0</v>
      </c>
      <c r="G82" s="568">
        <v>0</v>
      </c>
      <c r="H82" s="568">
        <v>0</v>
      </c>
      <c r="I82" s="568">
        <v>0</v>
      </c>
      <c r="J82" s="568">
        <v>0</v>
      </c>
      <c r="K82" s="568">
        <v>0</v>
      </c>
      <c r="L82" s="568">
        <v>0</v>
      </c>
      <c r="M82" s="568">
        <v>0</v>
      </c>
      <c r="N82" s="568">
        <v>0</v>
      </c>
      <c r="O82" s="568">
        <v>0</v>
      </c>
      <c r="P82" s="568">
        <v>0</v>
      </c>
      <c r="Q82" s="568">
        <v>0</v>
      </c>
      <c r="R82" s="568">
        <v>0</v>
      </c>
      <c r="S82" s="568">
        <v>0</v>
      </c>
      <c r="T82" s="568">
        <v>0</v>
      </c>
      <c r="U82" s="568">
        <v>0</v>
      </c>
      <c r="V82" s="568">
        <v>0</v>
      </c>
      <c r="W82" s="568">
        <v>0</v>
      </c>
      <c r="X82" s="568">
        <v>0</v>
      </c>
      <c r="Y82" s="568">
        <v>0</v>
      </c>
      <c r="Z82" s="568">
        <v>0</v>
      </c>
    </row>
    <row r="83" spans="1:26" outlineLevel="1">
      <c r="A83" s="807"/>
      <c r="B83" s="808"/>
      <c r="C83" s="808"/>
      <c r="D83" s="487">
        <v>8</v>
      </c>
      <c r="E83" s="68">
        <f t="shared" si="7"/>
        <v>0</v>
      </c>
      <c r="F83" s="568">
        <v>0</v>
      </c>
      <c r="G83" s="568">
        <v>0</v>
      </c>
      <c r="H83" s="568">
        <v>0</v>
      </c>
      <c r="I83" s="568">
        <v>0</v>
      </c>
      <c r="J83" s="568">
        <v>0</v>
      </c>
      <c r="K83" s="568">
        <v>0</v>
      </c>
      <c r="L83" s="568">
        <v>0</v>
      </c>
      <c r="M83" s="568">
        <v>0</v>
      </c>
      <c r="N83" s="568">
        <v>0</v>
      </c>
      <c r="O83" s="568">
        <v>0</v>
      </c>
      <c r="P83" s="568">
        <v>0</v>
      </c>
      <c r="Q83" s="568">
        <v>0</v>
      </c>
      <c r="R83" s="568">
        <v>0</v>
      </c>
      <c r="S83" s="568">
        <v>0</v>
      </c>
      <c r="T83" s="568">
        <v>0</v>
      </c>
      <c r="U83" s="568">
        <v>0</v>
      </c>
      <c r="V83" s="568">
        <v>0</v>
      </c>
      <c r="W83" s="568">
        <v>0</v>
      </c>
      <c r="X83" s="568">
        <v>0</v>
      </c>
      <c r="Y83" s="568">
        <v>0</v>
      </c>
      <c r="Z83" s="568">
        <v>0</v>
      </c>
    </row>
    <row r="84" spans="1:26" outlineLevel="1">
      <c r="A84" s="807"/>
      <c r="B84" s="808"/>
      <c r="C84" s="808"/>
      <c r="D84" s="487">
        <v>9</v>
      </c>
      <c r="E84" s="68">
        <f t="shared" si="7"/>
        <v>0</v>
      </c>
      <c r="F84" s="568">
        <v>0</v>
      </c>
      <c r="G84" s="568">
        <v>0</v>
      </c>
      <c r="H84" s="568">
        <v>0</v>
      </c>
      <c r="I84" s="568">
        <v>0</v>
      </c>
      <c r="J84" s="568">
        <v>0</v>
      </c>
      <c r="K84" s="568">
        <v>0</v>
      </c>
      <c r="L84" s="568">
        <v>0</v>
      </c>
      <c r="M84" s="568">
        <v>0</v>
      </c>
      <c r="N84" s="568">
        <v>0</v>
      </c>
      <c r="O84" s="568">
        <v>0</v>
      </c>
      <c r="P84" s="568">
        <v>0</v>
      </c>
      <c r="Q84" s="568">
        <v>0</v>
      </c>
      <c r="R84" s="568">
        <v>0</v>
      </c>
      <c r="S84" s="568">
        <v>0</v>
      </c>
      <c r="T84" s="568">
        <v>0</v>
      </c>
      <c r="U84" s="568">
        <v>0</v>
      </c>
      <c r="V84" s="568">
        <v>0</v>
      </c>
      <c r="W84" s="568">
        <v>0</v>
      </c>
      <c r="X84" s="568">
        <v>0</v>
      </c>
      <c r="Y84" s="568">
        <v>0</v>
      </c>
      <c r="Z84" s="568">
        <v>0</v>
      </c>
    </row>
    <row r="85" spans="1:26" ht="15.75" outlineLevel="1" thickBot="1">
      <c r="A85" s="807"/>
      <c r="B85" s="808"/>
      <c r="C85" s="808"/>
      <c r="D85" s="488">
        <v>10</v>
      </c>
      <c r="E85" s="69">
        <f t="shared" si="7"/>
        <v>0</v>
      </c>
      <c r="F85" s="568">
        <v>0</v>
      </c>
      <c r="G85" s="568">
        <v>0</v>
      </c>
      <c r="H85" s="568">
        <v>0</v>
      </c>
      <c r="I85" s="568">
        <v>0</v>
      </c>
      <c r="J85" s="568">
        <v>0</v>
      </c>
      <c r="K85" s="568">
        <v>0</v>
      </c>
      <c r="L85" s="568">
        <v>0</v>
      </c>
      <c r="M85" s="568">
        <v>0</v>
      </c>
      <c r="N85" s="568">
        <v>0</v>
      </c>
      <c r="O85" s="568">
        <v>0</v>
      </c>
      <c r="P85" s="568">
        <v>0</v>
      </c>
      <c r="Q85" s="568">
        <v>0</v>
      </c>
      <c r="R85" s="568">
        <v>0</v>
      </c>
      <c r="S85" s="568">
        <v>0</v>
      </c>
      <c r="T85" s="568">
        <v>0</v>
      </c>
      <c r="U85" s="568">
        <v>0</v>
      </c>
      <c r="V85" s="568">
        <v>0</v>
      </c>
      <c r="W85" s="568">
        <v>0</v>
      </c>
      <c r="X85" s="568">
        <v>0</v>
      </c>
      <c r="Y85" s="568">
        <v>0</v>
      </c>
      <c r="Z85" s="568">
        <v>0</v>
      </c>
    </row>
    <row r="86" spans="1:26" outlineLevel="1">
      <c r="A86" s="807" t="s">
        <v>96</v>
      </c>
      <c r="B86" s="808" t="s">
        <v>528</v>
      </c>
      <c r="C86" s="808">
        <v>610</v>
      </c>
      <c r="D86" s="486">
        <v>1</v>
      </c>
      <c r="E86" s="68">
        <f t="shared" si="7"/>
        <v>0</v>
      </c>
      <c r="F86" s="567">
        <v>0</v>
      </c>
      <c r="G86" s="567">
        <v>0</v>
      </c>
      <c r="H86" s="567">
        <v>0</v>
      </c>
      <c r="I86" s="567">
        <v>0</v>
      </c>
      <c r="J86" s="567">
        <v>0</v>
      </c>
      <c r="K86" s="567">
        <v>0</v>
      </c>
      <c r="L86" s="567">
        <v>0</v>
      </c>
      <c r="M86" s="567">
        <v>0</v>
      </c>
      <c r="N86" s="567">
        <v>0</v>
      </c>
      <c r="O86" s="567">
        <v>0</v>
      </c>
      <c r="P86" s="567">
        <v>0</v>
      </c>
      <c r="Q86" s="567">
        <v>0</v>
      </c>
      <c r="R86" s="567">
        <v>0</v>
      </c>
      <c r="S86" s="567">
        <v>0</v>
      </c>
      <c r="T86" s="567">
        <v>0</v>
      </c>
      <c r="U86" s="567">
        <v>0</v>
      </c>
      <c r="V86" s="567">
        <v>0</v>
      </c>
      <c r="W86" s="567">
        <v>0</v>
      </c>
      <c r="X86" s="567">
        <v>0</v>
      </c>
      <c r="Y86" s="567">
        <v>0</v>
      </c>
      <c r="Z86" s="567">
        <v>0</v>
      </c>
    </row>
    <row r="87" spans="1:26" outlineLevel="1">
      <c r="A87" s="807"/>
      <c r="B87" s="808"/>
      <c r="C87" s="808"/>
      <c r="D87" s="487">
        <v>2</v>
      </c>
      <c r="E87" s="68">
        <f t="shared" si="7"/>
        <v>0</v>
      </c>
      <c r="F87" s="568">
        <v>0</v>
      </c>
      <c r="G87" s="568">
        <v>0</v>
      </c>
      <c r="H87" s="568">
        <v>0</v>
      </c>
      <c r="I87" s="568">
        <v>0</v>
      </c>
      <c r="J87" s="568">
        <v>0</v>
      </c>
      <c r="K87" s="568">
        <v>0</v>
      </c>
      <c r="L87" s="568">
        <v>0</v>
      </c>
      <c r="M87" s="568">
        <v>0</v>
      </c>
      <c r="N87" s="568">
        <v>0</v>
      </c>
      <c r="O87" s="568">
        <v>0</v>
      </c>
      <c r="P87" s="568">
        <v>0</v>
      </c>
      <c r="Q87" s="568">
        <v>0</v>
      </c>
      <c r="R87" s="568">
        <v>0</v>
      </c>
      <c r="S87" s="568">
        <v>0</v>
      </c>
      <c r="T87" s="568">
        <v>0</v>
      </c>
      <c r="U87" s="568">
        <v>0</v>
      </c>
      <c r="V87" s="568">
        <v>0</v>
      </c>
      <c r="W87" s="568">
        <v>0</v>
      </c>
      <c r="X87" s="568">
        <v>0</v>
      </c>
      <c r="Y87" s="568">
        <v>0</v>
      </c>
      <c r="Z87" s="568">
        <v>0</v>
      </c>
    </row>
    <row r="88" spans="1:26" outlineLevel="1">
      <c r="A88" s="807"/>
      <c r="B88" s="808"/>
      <c r="C88" s="808"/>
      <c r="D88" s="487">
        <v>3</v>
      </c>
      <c r="E88" s="68">
        <f t="shared" si="7"/>
        <v>0</v>
      </c>
      <c r="F88" s="568">
        <v>0</v>
      </c>
      <c r="G88" s="568">
        <v>0</v>
      </c>
      <c r="H88" s="568">
        <v>0</v>
      </c>
      <c r="I88" s="568">
        <v>0</v>
      </c>
      <c r="J88" s="568">
        <v>0</v>
      </c>
      <c r="K88" s="568">
        <v>0</v>
      </c>
      <c r="L88" s="568">
        <v>0</v>
      </c>
      <c r="M88" s="568">
        <v>0</v>
      </c>
      <c r="N88" s="568">
        <v>0</v>
      </c>
      <c r="O88" s="568">
        <v>0</v>
      </c>
      <c r="P88" s="568">
        <v>0</v>
      </c>
      <c r="Q88" s="568">
        <v>0</v>
      </c>
      <c r="R88" s="568">
        <v>0</v>
      </c>
      <c r="S88" s="568">
        <v>0</v>
      </c>
      <c r="T88" s="568">
        <v>0</v>
      </c>
      <c r="U88" s="568">
        <v>0</v>
      </c>
      <c r="V88" s="568">
        <v>0</v>
      </c>
      <c r="W88" s="568">
        <v>0</v>
      </c>
      <c r="X88" s="568">
        <v>0</v>
      </c>
      <c r="Y88" s="568">
        <v>0</v>
      </c>
      <c r="Z88" s="568">
        <v>0</v>
      </c>
    </row>
    <row r="89" spans="1:26" outlineLevel="1">
      <c r="A89" s="807"/>
      <c r="B89" s="808"/>
      <c r="C89" s="808"/>
      <c r="D89" s="487">
        <v>4</v>
      </c>
      <c r="E89" s="68">
        <f t="shared" si="7"/>
        <v>0</v>
      </c>
      <c r="F89" s="568">
        <v>0</v>
      </c>
      <c r="G89" s="568">
        <v>0</v>
      </c>
      <c r="H89" s="568">
        <v>0</v>
      </c>
      <c r="I89" s="568">
        <v>0</v>
      </c>
      <c r="J89" s="568">
        <v>0</v>
      </c>
      <c r="K89" s="568">
        <v>0</v>
      </c>
      <c r="L89" s="568">
        <v>0</v>
      </c>
      <c r="M89" s="568">
        <v>0</v>
      </c>
      <c r="N89" s="568">
        <v>0</v>
      </c>
      <c r="O89" s="568">
        <v>0</v>
      </c>
      <c r="P89" s="568">
        <v>0</v>
      </c>
      <c r="Q89" s="568">
        <v>0</v>
      </c>
      <c r="R89" s="568">
        <v>0</v>
      </c>
      <c r="S89" s="568">
        <v>0</v>
      </c>
      <c r="T89" s="568">
        <v>0</v>
      </c>
      <c r="U89" s="568">
        <v>0</v>
      </c>
      <c r="V89" s="568">
        <v>0</v>
      </c>
      <c r="W89" s="568">
        <v>0</v>
      </c>
      <c r="X89" s="568">
        <v>0</v>
      </c>
      <c r="Y89" s="568">
        <v>0</v>
      </c>
      <c r="Z89" s="568">
        <v>0</v>
      </c>
    </row>
    <row r="90" spans="1:26" outlineLevel="1">
      <c r="A90" s="807"/>
      <c r="B90" s="808"/>
      <c r="C90" s="808"/>
      <c r="D90" s="487">
        <v>5</v>
      </c>
      <c r="E90" s="68">
        <f t="shared" si="7"/>
        <v>0</v>
      </c>
      <c r="F90" s="568">
        <v>0</v>
      </c>
      <c r="G90" s="568">
        <v>0</v>
      </c>
      <c r="H90" s="568">
        <v>0</v>
      </c>
      <c r="I90" s="568">
        <v>0</v>
      </c>
      <c r="J90" s="568">
        <v>0</v>
      </c>
      <c r="K90" s="568">
        <v>0</v>
      </c>
      <c r="L90" s="568">
        <v>0</v>
      </c>
      <c r="M90" s="568">
        <v>0</v>
      </c>
      <c r="N90" s="568">
        <v>0</v>
      </c>
      <c r="O90" s="568">
        <v>0</v>
      </c>
      <c r="P90" s="568">
        <v>0</v>
      </c>
      <c r="Q90" s="568">
        <v>0</v>
      </c>
      <c r="R90" s="568">
        <v>0</v>
      </c>
      <c r="S90" s="568">
        <v>0</v>
      </c>
      <c r="T90" s="568">
        <v>0</v>
      </c>
      <c r="U90" s="568">
        <v>0</v>
      </c>
      <c r="V90" s="568">
        <v>0</v>
      </c>
      <c r="W90" s="568">
        <v>0</v>
      </c>
      <c r="X90" s="568">
        <v>0</v>
      </c>
      <c r="Y90" s="568">
        <v>0</v>
      </c>
      <c r="Z90" s="568">
        <v>0</v>
      </c>
    </row>
    <row r="91" spans="1:26" outlineLevel="1">
      <c r="A91" s="807"/>
      <c r="B91" s="808"/>
      <c r="C91" s="808"/>
      <c r="D91" s="487">
        <v>6</v>
      </c>
      <c r="E91" s="68">
        <f t="shared" si="7"/>
        <v>0</v>
      </c>
      <c r="F91" s="568">
        <v>0</v>
      </c>
      <c r="G91" s="568">
        <v>0</v>
      </c>
      <c r="H91" s="568">
        <v>0</v>
      </c>
      <c r="I91" s="568">
        <v>0</v>
      </c>
      <c r="J91" s="568">
        <v>0</v>
      </c>
      <c r="K91" s="568">
        <v>0</v>
      </c>
      <c r="L91" s="568">
        <v>0</v>
      </c>
      <c r="M91" s="568">
        <v>0</v>
      </c>
      <c r="N91" s="568">
        <v>0</v>
      </c>
      <c r="O91" s="568">
        <v>0</v>
      </c>
      <c r="P91" s="568">
        <v>0</v>
      </c>
      <c r="Q91" s="568">
        <v>0</v>
      </c>
      <c r="R91" s="568">
        <v>0</v>
      </c>
      <c r="S91" s="568">
        <v>0</v>
      </c>
      <c r="T91" s="568">
        <v>0</v>
      </c>
      <c r="U91" s="568">
        <v>0</v>
      </c>
      <c r="V91" s="568">
        <v>0</v>
      </c>
      <c r="W91" s="568">
        <v>0</v>
      </c>
      <c r="X91" s="568">
        <v>0</v>
      </c>
      <c r="Y91" s="568">
        <v>0</v>
      </c>
      <c r="Z91" s="568">
        <v>0</v>
      </c>
    </row>
    <row r="92" spans="1:26" outlineLevel="1">
      <c r="A92" s="807"/>
      <c r="B92" s="808"/>
      <c r="C92" s="808"/>
      <c r="D92" s="487">
        <v>7</v>
      </c>
      <c r="E92" s="68">
        <f t="shared" si="7"/>
        <v>0</v>
      </c>
      <c r="F92" s="568">
        <v>0</v>
      </c>
      <c r="G92" s="568">
        <v>0</v>
      </c>
      <c r="H92" s="568">
        <v>0</v>
      </c>
      <c r="I92" s="568">
        <v>0</v>
      </c>
      <c r="J92" s="568">
        <v>0</v>
      </c>
      <c r="K92" s="568">
        <v>0</v>
      </c>
      <c r="L92" s="568">
        <v>0</v>
      </c>
      <c r="M92" s="568">
        <v>0</v>
      </c>
      <c r="N92" s="568">
        <v>0</v>
      </c>
      <c r="O92" s="568">
        <v>0</v>
      </c>
      <c r="P92" s="568">
        <v>0</v>
      </c>
      <c r="Q92" s="568">
        <v>0</v>
      </c>
      <c r="R92" s="568">
        <v>0</v>
      </c>
      <c r="S92" s="568">
        <v>0</v>
      </c>
      <c r="T92" s="568">
        <v>0</v>
      </c>
      <c r="U92" s="568">
        <v>0</v>
      </c>
      <c r="V92" s="568">
        <v>0</v>
      </c>
      <c r="W92" s="568">
        <v>0</v>
      </c>
      <c r="X92" s="568">
        <v>0</v>
      </c>
      <c r="Y92" s="568">
        <v>0</v>
      </c>
      <c r="Z92" s="568">
        <v>0</v>
      </c>
    </row>
    <row r="93" spans="1:26" outlineLevel="1">
      <c r="A93" s="807"/>
      <c r="B93" s="808"/>
      <c r="C93" s="808"/>
      <c r="D93" s="487">
        <v>8</v>
      </c>
      <c r="E93" s="68">
        <f t="shared" si="7"/>
        <v>0</v>
      </c>
      <c r="F93" s="568">
        <v>0</v>
      </c>
      <c r="G93" s="568">
        <v>0</v>
      </c>
      <c r="H93" s="568">
        <v>0</v>
      </c>
      <c r="I93" s="568">
        <v>0</v>
      </c>
      <c r="J93" s="568">
        <v>0</v>
      </c>
      <c r="K93" s="568">
        <v>0</v>
      </c>
      <c r="L93" s="568">
        <v>0</v>
      </c>
      <c r="M93" s="568">
        <v>0</v>
      </c>
      <c r="N93" s="568">
        <v>0</v>
      </c>
      <c r="O93" s="568">
        <v>0</v>
      </c>
      <c r="P93" s="568">
        <v>0</v>
      </c>
      <c r="Q93" s="568">
        <v>0</v>
      </c>
      <c r="R93" s="568">
        <v>0</v>
      </c>
      <c r="S93" s="568">
        <v>0</v>
      </c>
      <c r="T93" s="568">
        <v>0</v>
      </c>
      <c r="U93" s="568">
        <v>0</v>
      </c>
      <c r="V93" s="568">
        <v>0</v>
      </c>
      <c r="W93" s="568">
        <v>0</v>
      </c>
      <c r="X93" s="568">
        <v>0</v>
      </c>
      <c r="Y93" s="568">
        <v>0</v>
      </c>
      <c r="Z93" s="568">
        <v>0</v>
      </c>
    </row>
    <row r="94" spans="1:26" outlineLevel="1">
      <c r="A94" s="807"/>
      <c r="B94" s="808"/>
      <c r="C94" s="808"/>
      <c r="D94" s="487">
        <v>9</v>
      </c>
      <c r="E94" s="68">
        <f t="shared" si="7"/>
        <v>0</v>
      </c>
      <c r="F94" s="568">
        <v>0</v>
      </c>
      <c r="G94" s="568">
        <v>0</v>
      </c>
      <c r="H94" s="568">
        <v>0</v>
      </c>
      <c r="I94" s="568">
        <v>0</v>
      </c>
      <c r="J94" s="568">
        <v>0</v>
      </c>
      <c r="K94" s="568">
        <v>0</v>
      </c>
      <c r="L94" s="568">
        <v>0</v>
      </c>
      <c r="M94" s="568">
        <v>0</v>
      </c>
      <c r="N94" s="568">
        <v>0</v>
      </c>
      <c r="O94" s="568">
        <v>0</v>
      </c>
      <c r="P94" s="568">
        <v>0</v>
      </c>
      <c r="Q94" s="568">
        <v>0</v>
      </c>
      <c r="R94" s="568">
        <v>0</v>
      </c>
      <c r="S94" s="568">
        <v>0</v>
      </c>
      <c r="T94" s="568">
        <v>0</v>
      </c>
      <c r="U94" s="568">
        <v>0</v>
      </c>
      <c r="V94" s="568">
        <v>0</v>
      </c>
      <c r="W94" s="568">
        <v>0</v>
      </c>
      <c r="X94" s="568">
        <v>0</v>
      </c>
      <c r="Y94" s="568">
        <v>0</v>
      </c>
      <c r="Z94" s="568">
        <v>0</v>
      </c>
    </row>
    <row r="95" spans="1:26" ht="15.75" outlineLevel="1" thickBot="1">
      <c r="A95" s="807"/>
      <c r="B95" s="808"/>
      <c r="C95" s="808"/>
      <c r="D95" s="488">
        <v>10</v>
      </c>
      <c r="E95" s="69">
        <f t="shared" si="7"/>
        <v>0</v>
      </c>
      <c r="F95" s="572">
        <v>0</v>
      </c>
      <c r="G95" s="572">
        <v>0</v>
      </c>
      <c r="H95" s="572">
        <v>0</v>
      </c>
      <c r="I95" s="572">
        <v>0</v>
      </c>
      <c r="J95" s="572">
        <v>0</v>
      </c>
      <c r="K95" s="572">
        <v>0</v>
      </c>
      <c r="L95" s="572">
        <v>0</v>
      </c>
      <c r="M95" s="572">
        <v>0</v>
      </c>
      <c r="N95" s="572">
        <v>0</v>
      </c>
      <c r="O95" s="572">
        <v>0</v>
      </c>
      <c r="P95" s="572">
        <v>0</v>
      </c>
      <c r="Q95" s="572">
        <v>0</v>
      </c>
      <c r="R95" s="572">
        <v>0</v>
      </c>
      <c r="S95" s="572">
        <v>0</v>
      </c>
      <c r="T95" s="572">
        <v>0</v>
      </c>
      <c r="U95" s="572">
        <v>0</v>
      </c>
      <c r="V95" s="572">
        <v>0</v>
      </c>
      <c r="W95" s="572">
        <v>0</v>
      </c>
      <c r="X95" s="572">
        <v>0</v>
      </c>
      <c r="Y95" s="572">
        <v>0</v>
      </c>
      <c r="Z95" s="572">
        <v>0</v>
      </c>
    </row>
    <row r="96" spans="1:26" outlineLevel="1">
      <c r="A96" s="807" t="s">
        <v>91</v>
      </c>
      <c r="B96" s="808" t="s">
        <v>78</v>
      </c>
      <c r="C96" s="808">
        <v>637040</v>
      </c>
      <c r="D96" s="486">
        <v>1</v>
      </c>
      <c r="E96" s="68">
        <f t="shared" si="7"/>
        <v>0</v>
      </c>
      <c r="F96" s="567">
        <v>0</v>
      </c>
      <c r="G96" s="567">
        <v>0</v>
      </c>
      <c r="H96" s="567">
        <v>0</v>
      </c>
      <c r="I96" s="567">
        <v>0</v>
      </c>
      <c r="J96" s="567">
        <v>0</v>
      </c>
      <c r="K96" s="567">
        <v>0</v>
      </c>
      <c r="L96" s="567">
        <v>0</v>
      </c>
      <c r="M96" s="567">
        <v>0</v>
      </c>
      <c r="N96" s="567">
        <v>0</v>
      </c>
      <c r="O96" s="567">
        <v>0</v>
      </c>
      <c r="P96" s="567">
        <v>0</v>
      </c>
      <c r="Q96" s="567">
        <v>0</v>
      </c>
      <c r="R96" s="567">
        <v>0</v>
      </c>
      <c r="S96" s="567">
        <v>0</v>
      </c>
      <c r="T96" s="567">
        <v>0</v>
      </c>
      <c r="U96" s="567">
        <v>0</v>
      </c>
      <c r="V96" s="567">
        <v>0</v>
      </c>
      <c r="W96" s="567">
        <v>0</v>
      </c>
      <c r="X96" s="567">
        <v>0</v>
      </c>
      <c r="Y96" s="567">
        <v>0</v>
      </c>
      <c r="Z96" s="567">
        <v>0</v>
      </c>
    </row>
    <row r="97" spans="1:26" outlineLevel="1">
      <c r="A97" s="807"/>
      <c r="B97" s="808"/>
      <c r="C97" s="808"/>
      <c r="D97" s="487">
        <v>2</v>
      </c>
      <c r="E97" s="68">
        <f t="shared" si="7"/>
        <v>0</v>
      </c>
      <c r="F97" s="568">
        <v>0</v>
      </c>
      <c r="G97" s="568">
        <v>0</v>
      </c>
      <c r="H97" s="568">
        <v>0</v>
      </c>
      <c r="I97" s="568">
        <v>0</v>
      </c>
      <c r="J97" s="568">
        <v>0</v>
      </c>
      <c r="K97" s="568">
        <v>0</v>
      </c>
      <c r="L97" s="568">
        <v>0</v>
      </c>
      <c r="M97" s="568">
        <v>0</v>
      </c>
      <c r="N97" s="568">
        <v>0</v>
      </c>
      <c r="O97" s="568">
        <v>0</v>
      </c>
      <c r="P97" s="568">
        <v>0</v>
      </c>
      <c r="Q97" s="568">
        <v>0</v>
      </c>
      <c r="R97" s="568">
        <v>0</v>
      </c>
      <c r="S97" s="568">
        <v>0</v>
      </c>
      <c r="T97" s="568">
        <v>0</v>
      </c>
      <c r="U97" s="568">
        <v>0</v>
      </c>
      <c r="V97" s="568">
        <v>0</v>
      </c>
      <c r="W97" s="568">
        <v>0</v>
      </c>
      <c r="X97" s="568">
        <v>0</v>
      </c>
      <c r="Y97" s="568">
        <v>0</v>
      </c>
      <c r="Z97" s="568">
        <v>0</v>
      </c>
    </row>
    <row r="98" spans="1:26" outlineLevel="1">
      <c r="A98" s="807"/>
      <c r="B98" s="808"/>
      <c r="C98" s="808"/>
      <c r="D98" s="487">
        <v>3</v>
      </c>
      <c r="E98" s="68">
        <f t="shared" si="7"/>
        <v>0</v>
      </c>
      <c r="F98" s="568">
        <v>0</v>
      </c>
      <c r="G98" s="568">
        <v>0</v>
      </c>
      <c r="H98" s="568">
        <v>0</v>
      </c>
      <c r="I98" s="568">
        <v>0</v>
      </c>
      <c r="J98" s="568">
        <v>0</v>
      </c>
      <c r="K98" s="568">
        <v>0</v>
      </c>
      <c r="L98" s="568">
        <v>0</v>
      </c>
      <c r="M98" s="568">
        <v>0</v>
      </c>
      <c r="N98" s="568">
        <v>0</v>
      </c>
      <c r="O98" s="568">
        <v>0</v>
      </c>
      <c r="P98" s="568">
        <v>0</v>
      </c>
      <c r="Q98" s="568">
        <v>0</v>
      </c>
      <c r="R98" s="568">
        <v>0</v>
      </c>
      <c r="S98" s="568">
        <v>0</v>
      </c>
      <c r="T98" s="568">
        <v>0</v>
      </c>
      <c r="U98" s="568">
        <v>0</v>
      </c>
      <c r="V98" s="568">
        <v>0</v>
      </c>
      <c r="W98" s="568">
        <v>0</v>
      </c>
      <c r="X98" s="568">
        <v>0</v>
      </c>
      <c r="Y98" s="568">
        <v>0</v>
      </c>
      <c r="Z98" s="568">
        <v>0</v>
      </c>
    </row>
    <row r="99" spans="1:26" outlineLevel="1">
      <c r="A99" s="807"/>
      <c r="B99" s="808"/>
      <c r="C99" s="808"/>
      <c r="D99" s="487">
        <v>4</v>
      </c>
      <c r="E99" s="68">
        <f t="shared" si="7"/>
        <v>0</v>
      </c>
      <c r="F99" s="568">
        <v>0</v>
      </c>
      <c r="G99" s="568">
        <v>0</v>
      </c>
      <c r="H99" s="568">
        <v>0</v>
      </c>
      <c r="I99" s="568">
        <v>0</v>
      </c>
      <c r="J99" s="568">
        <v>0</v>
      </c>
      <c r="K99" s="568">
        <v>0</v>
      </c>
      <c r="L99" s="568">
        <v>0</v>
      </c>
      <c r="M99" s="568">
        <v>0</v>
      </c>
      <c r="N99" s="568">
        <v>0</v>
      </c>
      <c r="O99" s="568">
        <v>0</v>
      </c>
      <c r="P99" s="568">
        <v>0</v>
      </c>
      <c r="Q99" s="568">
        <v>0</v>
      </c>
      <c r="R99" s="568">
        <v>0</v>
      </c>
      <c r="S99" s="568">
        <v>0</v>
      </c>
      <c r="T99" s="568">
        <v>0</v>
      </c>
      <c r="U99" s="568">
        <v>0</v>
      </c>
      <c r="V99" s="568">
        <v>0</v>
      </c>
      <c r="W99" s="568">
        <v>0</v>
      </c>
      <c r="X99" s="568">
        <v>0</v>
      </c>
      <c r="Y99" s="568">
        <v>0</v>
      </c>
      <c r="Z99" s="568">
        <v>0</v>
      </c>
    </row>
    <row r="100" spans="1:26" outlineLevel="1">
      <c r="A100" s="807"/>
      <c r="B100" s="808"/>
      <c r="C100" s="808"/>
      <c r="D100" s="487">
        <v>5</v>
      </c>
      <c r="E100" s="68">
        <f t="shared" si="7"/>
        <v>0</v>
      </c>
      <c r="F100" s="568">
        <v>0</v>
      </c>
      <c r="G100" s="568">
        <v>0</v>
      </c>
      <c r="H100" s="568">
        <v>0</v>
      </c>
      <c r="I100" s="568">
        <v>0</v>
      </c>
      <c r="J100" s="568">
        <v>0</v>
      </c>
      <c r="K100" s="568">
        <v>0</v>
      </c>
      <c r="L100" s="568">
        <v>0</v>
      </c>
      <c r="M100" s="568">
        <v>0</v>
      </c>
      <c r="N100" s="568">
        <v>0</v>
      </c>
      <c r="O100" s="568">
        <v>0</v>
      </c>
      <c r="P100" s="568">
        <v>0</v>
      </c>
      <c r="Q100" s="568">
        <v>0</v>
      </c>
      <c r="R100" s="568">
        <v>0</v>
      </c>
      <c r="S100" s="568">
        <v>0</v>
      </c>
      <c r="T100" s="568">
        <v>0</v>
      </c>
      <c r="U100" s="568">
        <v>0</v>
      </c>
      <c r="V100" s="568">
        <v>0</v>
      </c>
      <c r="W100" s="568">
        <v>0</v>
      </c>
      <c r="X100" s="568">
        <v>0</v>
      </c>
      <c r="Y100" s="568">
        <v>0</v>
      </c>
      <c r="Z100" s="568">
        <v>0</v>
      </c>
    </row>
    <row r="101" spans="1:26" outlineLevel="1">
      <c r="A101" s="807"/>
      <c r="B101" s="808"/>
      <c r="C101" s="808"/>
      <c r="D101" s="487">
        <v>6</v>
      </c>
      <c r="E101" s="68">
        <f t="shared" si="7"/>
        <v>0</v>
      </c>
      <c r="F101" s="568">
        <v>0</v>
      </c>
      <c r="G101" s="568">
        <v>0</v>
      </c>
      <c r="H101" s="568">
        <v>0</v>
      </c>
      <c r="I101" s="568">
        <v>0</v>
      </c>
      <c r="J101" s="568">
        <v>0</v>
      </c>
      <c r="K101" s="568">
        <v>0</v>
      </c>
      <c r="L101" s="568">
        <v>0</v>
      </c>
      <c r="M101" s="568">
        <v>0</v>
      </c>
      <c r="N101" s="568">
        <v>0</v>
      </c>
      <c r="O101" s="568">
        <v>0</v>
      </c>
      <c r="P101" s="568">
        <v>0</v>
      </c>
      <c r="Q101" s="568">
        <v>0</v>
      </c>
      <c r="R101" s="568">
        <v>0</v>
      </c>
      <c r="S101" s="568">
        <v>0</v>
      </c>
      <c r="T101" s="568">
        <v>0</v>
      </c>
      <c r="U101" s="568">
        <v>0</v>
      </c>
      <c r="V101" s="568">
        <v>0</v>
      </c>
      <c r="W101" s="568">
        <v>0</v>
      </c>
      <c r="X101" s="568">
        <v>0</v>
      </c>
      <c r="Y101" s="568">
        <v>0</v>
      </c>
      <c r="Z101" s="568">
        <v>0</v>
      </c>
    </row>
    <row r="102" spans="1:26" outlineLevel="1">
      <c r="A102" s="807"/>
      <c r="B102" s="808"/>
      <c r="C102" s="808"/>
      <c r="D102" s="487">
        <v>7</v>
      </c>
      <c r="E102" s="68">
        <f t="shared" si="7"/>
        <v>0</v>
      </c>
      <c r="F102" s="568">
        <v>0</v>
      </c>
      <c r="G102" s="568">
        <v>0</v>
      </c>
      <c r="H102" s="568">
        <v>0</v>
      </c>
      <c r="I102" s="568">
        <v>0</v>
      </c>
      <c r="J102" s="568">
        <v>0</v>
      </c>
      <c r="K102" s="568">
        <v>0</v>
      </c>
      <c r="L102" s="568">
        <v>0</v>
      </c>
      <c r="M102" s="568">
        <v>0</v>
      </c>
      <c r="N102" s="568">
        <v>0</v>
      </c>
      <c r="O102" s="568">
        <v>0</v>
      </c>
      <c r="P102" s="568">
        <v>0</v>
      </c>
      <c r="Q102" s="568">
        <v>0</v>
      </c>
      <c r="R102" s="568">
        <v>0</v>
      </c>
      <c r="S102" s="568">
        <v>0</v>
      </c>
      <c r="T102" s="568">
        <v>0</v>
      </c>
      <c r="U102" s="568">
        <v>0</v>
      </c>
      <c r="V102" s="568">
        <v>0</v>
      </c>
      <c r="W102" s="568">
        <v>0</v>
      </c>
      <c r="X102" s="568">
        <v>0</v>
      </c>
      <c r="Y102" s="568">
        <v>0</v>
      </c>
      <c r="Z102" s="568">
        <v>0</v>
      </c>
    </row>
    <row r="103" spans="1:26" outlineLevel="1">
      <c r="A103" s="807"/>
      <c r="B103" s="808"/>
      <c r="C103" s="808"/>
      <c r="D103" s="487">
        <v>8</v>
      </c>
      <c r="E103" s="68">
        <f t="shared" si="7"/>
        <v>0</v>
      </c>
      <c r="F103" s="568">
        <v>0</v>
      </c>
      <c r="G103" s="568">
        <v>0</v>
      </c>
      <c r="H103" s="568">
        <v>0</v>
      </c>
      <c r="I103" s="568">
        <v>0</v>
      </c>
      <c r="J103" s="568">
        <v>0</v>
      </c>
      <c r="K103" s="568">
        <v>0</v>
      </c>
      <c r="L103" s="568">
        <v>0</v>
      </c>
      <c r="M103" s="568">
        <v>0</v>
      </c>
      <c r="N103" s="568">
        <v>0</v>
      </c>
      <c r="O103" s="568">
        <v>0</v>
      </c>
      <c r="P103" s="568">
        <v>0</v>
      </c>
      <c r="Q103" s="568">
        <v>0</v>
      </c>
      <c r="R103" s="568">
        <v>0</v>
      </c>
      <c r="S103" s="568">
        <v>0</v>
      </c>
      <c r="T103" s="568">
        <v>0</v>
      </c>
      <c r="U103" s="568">
        <v>0</v>
      </c>
      <c r="V103" s="568">
        <v>0</v>
      </c>
      <c r="W103" s="568">
        <v>0</v>
      </c>
      <c r="X103" s="568">
        <v>0</v>
      </c>
      <c r="Y103" s="568">
        <v>0</v>
      </c>
      <c r="Z103" s="568">
        <v>0</v>
      </c>
    </row>
    <row r="104" spans="1:26" outlineLevel="1">
      <c r="A104" s="807"/>
      <c r="B104" s="808"/>
      <c r="C104" s="808"/>
      <c r="D104" s="487">
        <v>9</v>
      </c>
      <c r="E104" s="68">
        <f t="shared" si="7"/>
        <v>0</v>
      </c>
      <c r="F104" s="568">
        <v>0</v>
      </c>
      <c r="G104" s="568">
        <v>0</v>
      </c>
      <c r="H104" s="568">
        <v>0</v>
      </c>
      <c r="I104" s="568">
        <v>0</v>
      </c>
      <c r="J104" s="568">
        <v>0</v>
      </c>
      <c r="K104" s="568">
        <v>0</v>
      </c>
      <c r="L104" s="568">
        <v>0</v>
      </c>
      <c r="M104" s="568">
        <v>0</v>
      </c>
      <c r="N104" s="568">
        <v>0</v>
      </c>
      <c r="O104" s="568">
        <v>0</v>
      </c>
      <c r="P104" s="568">
        <v>0</v>
      </c>
      <c r="Q104" s="568">
        <v>0</v>
      </c>
      <c r="R104" s="568">
        <v>0</v>
      </c>
      <c r="S104" s="568">
        <v>0</v>
      </c>
      <c r="T104" s="568">
        <v>0</v>
      </c>
      <c r="U104" s="568">
        <v>0</v>
      </c>
      <c r="V104" s="568">
        <v>0</v>
      </c>
      <c r="W104" s="568">
        <v>0</v>
      </c>
      <c r="X104" s="568">
        <v>0</v>
      </c>
      <c r="Y104" s="568">
        <v>0</v>
      </c>
      <c r="Z104" s="568">
        <v>0</v>
      </c>
    </row>
    <row r="105" spans="1:26" ht="15.75" outlineLevel="1" thickBot="1">
      <c r="A105" s="807"/>
      <c r="B105" s="808"/>
      <c r="C105" s="808"/>
      <c r="D105" s="488">
        <v>10</v>
      </c>
      <c r="E105" s="69">
        <f t="shared" si="7"/>
        <v>0</v>
      </c>
      <c r="F105" s="572">
        <v>0</v>
      </c>
      <c r="G105" s="572">
        <v>0</v>
      </c>
      <c r="H105" s="572">
        <v>0</v>
      </c>
      <c r="I105" s="572">
        <v>0</v>
      </c>
      <c r="J105" s="572">
        <v>0</v>
      </c>
      <c r="K105" s="572">
        <v>0</v>
      </c>
      <c r="L105" s="572">
        <v>0</v>
      </c>
      <c r="M105" s="572">
        <v>0</v>
      </c>
      <c r="N105" s="572">
        <v>0</v>
      </c>
      <c r="O105" s="572">
        <v>0</v>
      </c>
      <c r="P105" s="572">
        <v>0</v>
      </c>
      <c r="Q105" s="572">
        <v>0</v>
      </c>
      <c r="R105" s="572">
        <v>0</v>
      </c>
      <c r="S105" s="572">
        <v>0</v>
      </c>
      <c r="T105" s="572">
        <v>0</v>
      </c>
      <c r="U105" s="572">
        <v>0</v>
      </c>
      <c r="V105" s="572">
        <v>0</v>
      </c>
      <c r="W105" s="572">
        <v>0</v>
      </c>
      <c r="X105" s="572">
        <v>0</v>
      </c>
      <c r="Y105" s="572">
        <v>0</v>
      </c>
      <c r="Z105" s="572">
        <v>0</v>
      </c>
    </row>
  </sheetData>
  <mergeCells count="35">
    <mergeCell ref="F1:Z1"/>
    <mergeCell ref="B5:B14"/>
    <mergeCell ref="C5:C14"/>
    <mergeCell ref="A15:A24"/>
    <mergeCell ref="B15:B24"/>
    <mergeCell ref="C15:C24"/>
    <mergeCell ref="A1:D1"/>
    <mergeCell ref="A2:D2"/>
    <mergeCell ref="A96:A105"/>
    <mergeCell ref="B96:B105"/>
    <mergeCell ref="C96:C105"/>
    <mergeCell ref="A66:A75"/>
    <mergeCell ref="B66:B75"/>
    <mergeCell ref="C66:C75"/>
    <mergeCell ref="A76:A85"/>
    <mergeCell ref="B76:B85"/>
    <mergeCell ref="C76:C85"/>
    <mergeCell ref="A86:A95"/>
    <mergeCell ref="B86:B95"/>
    <mergeCell ref="C86:C9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7">
    <tabColor rgb="FFFFFF00"/>
  </sheetPr>
  <dimension ref="A1:D14"/>
  <sheetViews>
    <sheetView zoomScale="130" zoomScaleNormal="130" workbookViewId="0">
      <pane ySplit="1" topLeftCell="A2" activePane="bottomLeft" state="frozen"/>
      <selection activeCell="H74" sqref="H74"/>
      <selection pane="bottomLeft" activeCell="C18" sqref="C18"/>
    </sheetView>
  </sheetViews>
  <sheetFormatPr defaultColWidth="8.85546875" defaultRowHeight="15"/>
  <cols>
    <col min="1" max="1" width="32.28515625" style="4" customWidth="1"/>
    <col min="2" max="2" width="66.7109375" style="4" customWidth="1"/>
    <col min="3" max="3" width="14.28515625" style="6" customWidth="1"/>
    <col min="4" max="4" width="23.42578125" style="4" customWidth="1"/>
    <col min="5" max="16384" width="8.85546875" style="4"/>
  </cols>
  <sheetData>
    <row r="1" spans="1:4" ht="18" thickTop="1" thickBot="1">
      <c r="A1" s="1" t="s">
        <v>0</v>
      </c>
      <c r="B1" s="2" t="s">
        <v>1</v>
      </c>
      <c r="C1" s="5" t="s">
        <v>10</v>
      </c>
      <c r="D1" s="3" t="s">
        <v>2</v>
      </c>
    </row>
    <row r="2" spans="1:4" ht="150" thickTop="1" thickBot="1">
      <c r="A2" s="324" t="s">
        <v>3</v>
      </c>
      <c r="B2" s="325" t="s">
        <v>4</v>
      </c>
      <c r="C2" s="326" t="s">
        <v>11</v>
      </c>
      <c r="D2" s="150">
        <v>10</v>
      </c>
    </row>
    <row r="3" spans="1:4" ht="41.45" customHeight="1">
      <c r="A3" s="832" t="s">
        <v>5</v>
      </c>
      <c r="B3" s="843" t="s">
        <v>14</v>
      </c>
      <c r="C3" s="845" t="s">
        <v>12</v>
      </c>
      <c r="D3" s="834">
        <v>0.04</v>
      </c>
    </row>
    <row r="4" spans="1:4" ht="44.45" customHeight="1" thickBot="1">
      <c r="A4" s="833"/>
      <c r="B4" s="844"/>
      <c r="C4" s="846"/>
      <c r="D4" s="835"/>
    </row>
    <row r="5" spans="1:4" ht="49.5">
      <c r="A5" s="832" t="s">
        <v>6</v>
      </c>
      <c r="B5" s="327" t="s">
        <v>7</v>
      </c>
      <c r="C5" s="845" t="s">
        <v>12</v>
      </c>
      <c r="D5" s="836">
        <v>0.05</v>
      </c>
    </row>
    <row r="6" spans="1:4" ht="50.25" thickBot="1">
      <c r="A6" s="833"/>
      <c r="B6" s="325" t="s">
        <v>8</v>
      </c>
      <c r="C6" s="846"/>
      <c r="D6" s="837"/>
    </row>
    <row r="7" spans="1:4" ht="33.75" thickBot="1">
      <c r="A7" s="328" t="s">
        <v>140</v>
      </c>
      <c r="B7" s="329" t="s">
        <v>453</v>
      </c>
      <c r="C7" s="330" t="s">
        <v>13</v>
      </c>
      <c r="D7" s="580">
        <v>2105</v>
      </c>
    </row>
    <row r="8" spans="1:4" ht="15" customHeight="1">
      <c r="A8" s="838" t="s">
        <v>9</v>
      </c>
      <c r="B8" s="828" t="s">
        <v>241</v>
      </c>
      <c r="C8" s="847" t="s">
        <v>15</v>
      </c>
      <c r="D8" s="840">
        <f>$D$7*1.352/(D12/12)</f>
        <v>17.379908396946565</v>
      </c>
    </row>
    <row r="9" spans="1:4" ht="15.75" thickBot="1">
      <c r="A9" s="839"/>
      <c r="B9" s="842"/>
      <c r="C9" s="848"/>
      <c r="D9" s="841"/>
    </row>
    <row r="10" spans="1:4" ht="15" customHeight="1">
      <c r="A10" s="826" t="s">
        <v>141</v>
      </c>
      <c r="B10" s="828" t="s">
        <v>454</v>
      </c>
      <c r="C10" s="824" t="s">
        <v>15</v>
      </c>
      <c r="D10" s="830">
        <v>8.73</v>
      </c>
    </row>
    <row r="11" spans="1:4" ht="20.25" customHeight="1" thickBot="1">
      <c r="A11" s="827"/>
      <c r="B11" s="829"/>
      <c r="C11" s="825"/>
      <c r="D11" s="831"/>
    </row>
    <row r="12" spans="1:4" ht="72" customHeight="1" thickBot="1">
      <c r="A12" s="331" t="s">
        <v>238</v>
      </c>
      <c r="B12" s="329" t="s">
        <v>455</v>
      </c>
      <c r="C12" s="332" t="s">
        <v>239</v>
      </c>
      <c r="D12" s="581">
        <v>1965</v>
      </c>
    </row>
    <row r="13" spans="1:4" ht="72" customHeight="1" thickBot="1">
      <c r="A13" s="331" t="s">
        <v>240</v>
      </c>
      <c r="B13" s="329" t="s">
        <v>456</v>
      </c>
      <c r="C13" s="332" t="s">
        <v>239</v>
      </c>
      <c r="D13" s="582">
        <v>2096</v>
      </c>
    </row>
    <row r="14" spans="1:4" ht="21" customHeight="1" thickBot="1">
      <c r="A14" s="331" t="s">
        <v>25</v>
      </c>
      <c r="B14" s="331" t="s">
        <v>111</v>
      </c>
      <c r="C14" s="332" t="s">
        <v>11</v>
      </c>
      <c r="D14" s="583">
        <v>2026</v>
      </c>
    </row>
  </sheetData>
  <mergeCells count="15">
    <mergeCell ref="C10:C11"/>
    <mergeCell ref="A10:A11"/>
    <mergeCell ref="B10:B11"/>
    <mergeCell ref="D10:D11"/>
    <mergeCell ref="A3:A4"/>
    <mergeCell ref="D3:D4"/>
    <mergeCell ref="A5:A6"/>
    <mergeCell ref="D5:D6"/>
    <mergeCell ref="A8:A9"/>
    <mergeCell ref="D8:D9"/>
    <mergeCell ref="B8:B9"/>
    <mergeCell ref="B3:B4"/>
    <mergeCell ref="C3:C4"/>
    <mergeCell ref="C8:C9"/>
    <mergeCell ref="C5:C6"/>
  </mergeCells>
  <pageMargins left="0.7" right="0.7" top="0.75" bottom="0.75" header="0.3" footer="0.3"/>
  <pageSetup paperSize="9" scale="63"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31"/>
  <dimension ref="A1:A9"/>
  <sheetViews>
    <sheetView workbookViewId="0">
      <selection activeCell="A2" sqref="A2:A9"/>
    </sheetView>
  </sheetViews>
  <sheetFormatPr defaultColWidth="8.85546875" defaultRowHeight="15"/>
  <cols>
    <col min="1" max="1" width="37.42578125" bestFit="1" customWidth="1"/>
  </cols>
  <sheetData>
    <row r="1" spans="1:1">
      <c r="A1" t="s">
        <v>450</v>
      </c>
    </row>
    <row r="2" spans="1:1">
      <c r="A2" t="s">
        <v>443</v>
      </c>
    </row>
    <row r="3" spans="1:1">
      <c r="A3" t="s">
        <v>377</v>
      </c>
    </row>
    <row r="4" spans="1:1">
      <c r="A4" t="s">
        <v>444</v>
      </c>
    </row>
    <row r="5" spans="1:1">
      <c r="A5" t="s">
        <v>445</v>
      </c>
    </row>
    <row r="6" spans="1:1">
      <c r="A6" t="s">
        <v>446</v>
      </c>
    </row>
    <row r="7" spans="1:1">
      <c r="A7" t="s">
        <v>447</v>
      </c>
    </row>
    <row r="8" spans="1:1">
      <c r="A8" t="s">
        <v>448</v>
      </c>
    </row>
    <row r="9" spans="1:1">
      <c r="A9" t="s">
        <v>449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19"/>
  <dimension ref="A1:T3"/>
  <sheetViews>
    <sheetView view="pageBreakPreview" topLeftCell="D1" zoomScale="60" zoomScaleNormal="60" workbookViewId="0">
      <selection activeCell="S17" sqref="S17"/>
    </sheetView>
  </sheetViews>
  <sheetFormatPr defaultColWidth="8.85546875" defaultRowHeight="15"/>
  <sheetData>
    <row r="1" spans="1:20">
      <c r="A1" t="s">
        <v>171</v>
      </c>
      <c r="D1" s="197"/>
      <c r="E1" s="197"/>
      <c r="F1" s="197"/>
      <c r="G1" s="197"/>
      <c r="H1" s="197"/>
      <c r="I1" s="197"/>
      <c r="J1" s="197"/>
      <c r="K1" s="197"/>
      <c r="L1" s="197"/>
      <c r="M1" s="197"/>
      <c r="N1" s="197"/>
      <c r="O1" s="197"/>
      <c r="P1" s="197"/>
      <c r="Q1" s="197"/>
      <c r="R1" s="197"/>
      <c r="S1" s="197"/>
      <c r="T1" s="197"/>
    </row>
    <row r="2" spans="1:20">
      <c r="A2" t="s">
        <v>172</v>
      </c>
      <c r="D2" s="197"/>
      <c r="E2" s="197"/>
      <c r="F2" s="197"/>
      <c r="G2" s="197"/>
      <c r="H2" s="197"/>
      <c r="I2" s="197"/>
      <c r="J2" s="197"/>
      <c r="K2" s="197"/>
      <c r="L2" s="197"/>
      <c r="M2" s="197"/>
      <c r="N2" s="197"/>
      <c r="O2" s="197"/>
      <c r="P2" s="197"/>
      <c r="Q2" s="197"/>
      <c r="R2" s="197"/>
      <c r="S2" s="197"/>
      <c r="T2" s="197"/>
    </row>
    <row r="3" spans="1:20">
      <c r="A3" s="198" t="s">
        <v>173</v>
      </c>
      <c r="D3" s="197"/>
      <c r="E3" s="197"/>
      <c r="F3" s="197"/>
      <c r="G3" s="197"/>
      <c r="H3" s="197"/>
      <c r="I3" s="197"/>
      <c r="J3" s="197"/>
      <c r="K3" s="197"/>
      <c r="L3" s="197"/>
      <c r="M3" s="197"/>
      <c r="N3" s="197"/>
      <c r="O3" s="197"/>
      <c r="P3" s="197"/>
      <c r="Q3" s="197"/>
      <c r="R3" s="197"/>
      <c r="S3" s="197"/>
      <c r="T3" s="199" t="s">
        <v>126</v>
      </c>
    </row>
  </sheetData>
  <pageMargins left="0.7" right="0.7" top="0.75" bottom="0.75" header="0.3" footer="0.3"/>
  <pageSetup paperSize="9" scale="33" orientation="portrait" r:id="rId1"/>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27"/>
  <sheetViews>
    <sheetView zoomScale="90" zoomScaleNormal="90" workbookViewId="0">
      <pane ySplit="3" topLeftCell="A4" activePane="bottomLeft" state="frozen"/>
      <selection pane="bottomLeft" activeCell="D10" sqref="D10"/>
    </sheetView>
  </sheetViews>
  <sheetFormatPr defaultColWidth="9.140625" defaultRowHeight="15"/>
  <cols>
    <col min="3" max="3" width="32.28515625" customWidth="1"/>
    <col min="4" max="25" width="13.7109375" customWidth="1"/>
    <col min="31" max="31" width="32" customWidth="1"/>
    <col min="32" max="32" width="17.42578125" bestFit="1" customWidth="1"/>
    <col min="33" max="37" width="16.42578125" customWidth="1"/>
    <col min="38" max="53" width="13" customWidth="1"/>
  </cols>
  <sheetData>
    <row r="1" spans="1:53" ht="21.75" customHeight="1">
      <c r="A1" s="458" t="s">
        <v>254</v>
      </c>
      <c r="B1" s="458"/>
      <c r="C1" s="458"/>
      <c r="D1" s="458"/>
      <c r="E1" s="458"/>
      <c r="F1" s="458"/>
      <c r="G1" s="458"/>
      <c r="H1" s="458"/>
      <c r="I1" s="458"/>
      <c r="J1" s="458"/>
      <c r="K1" s="458"/>
      <c r="L1" s="458"/>
      <c r="M1" s="458"/>
      <c r="N1" s="458"/>
      <c r="O1" s="458"/>
      <c r="P1" s="458"/>
      <c r="Q1" s="458"/>
      <c r="R1" s="458"/>
      <c r="S1" s="458"/>
      <c r="T1" s="458"/>
      <c r="U1" s="458"/>
      <c r="V1" s="458"/>
      <c r="W1" s="458"/>
      <c r="X1" s="458"/>
      <c r="Y1" s="458"/>
      <c r="AC1" s="458" t="s">
        <v>253</v>
      </c>
      <c r="AD1" s="458"/>
      <c r="AE1" s="458"/>
      <c r="AF1" s="458"/>
      <c r="AG1" s="458"/>
      <c r="AH1" s="458"/>
      <c r="AI1" s="458"/>
      <c r="AJ1" s="458"/>
      <c r="AK1" s="458"/>
      <c r="AL1" s="458"/>
      <c r="AM1" s="458"/>
      <c r="AN1" s="458"/>
      <c r="AO1" s="458"/>
      <c r="AP1" s="458"/>
      <c r="AQ1" s="458"/>
      <c r="AR1" s="458"/>
      <c r="AS1" s="458"/>
      <c r="AT1" s="458"/>
      <c r="AU1" s="458"/>
      <c r="AV1" s="458"/>
      <c r="AW1" s="458"/>
      <c r="AX1" s="458"/>
      <c r="AY1" s="458"/>
      <c r="AZ1" s="458"/>
      <c r="BA1" s="458"/>
    </row>
    <row r="2" spans="1:53" ht="90">
      <c r="A2" s="719"/>
      <c r="B2" s="719"/>
      <c r="C2" s="719"/>
      <c r="D2" s="443" t="s">
        <v>104</v>
      </c>
      <c r="E2" s="457" t="str">
        <f>MODULY_CBA!$B3</f>
        <v>Distribučné služby – poskytovanie údajov</v>
      </c>
      <c r="F2" s="457" t="str">
        <f>MODULY_CBA!$B4</f>
        <v>Prehliadanie údajov (koncová služba) – základ</v>
      </c>
      <c r="G2" s="457" t="str">
        <f>MODULY_CBA!$B5</f>
        <v>Služba požiadaviek na 3D mapovanie (koncová služba)</v>
      </c>
      <c r="H2" s="457" t="str">
        <f>MODULY_CBA!$B6</f>
        <v>Interné služby – automatizovaná správa údajov (základ)</v>
      </c>
      <c r="I2" s="457" t="str">
        <f>MODULY_CBA!$B7</f>
        <v>Distribučné služby – rozšírenie o 3D vektor LOD2.x</v>
      </c>
      <c r="J2" s="457" t="str">
        <f>MODULY_CBA!$B8</f>
        <v>Prehliadanie 3D údajov + základné analýzy (koncová služba)</v>
      </c>
      <c r="K2" s="457" t="str">
        <f>MODULY_CBA!$B9</f>
        <v>Online vytváranie a dopĺňanie 3D údajov (koncová služba)</v>
      </c>
      <c r="L2" s="457" t="str">
        <f>MODULY_CBA!$B10</f>
        <v>Validácia a zápis do databázy (autorizované údaje)</v>
      </c>
      <c r="M2" s="457" t="str">
        <f>MODULY_CBA!$B11</f>
        <v>Podpora stavebného konania (DOK) – koncová služba</v>
      </c>
      <c r="N2" s="457" t="str">
        <f>MODULY_CBA!$B12</f>
        <v>Vloženie porealizačných údajov nových stavieb</v>
      </c>
      <c r="O2" s="457" t="str">
        <f>MODULY_CBA!$B13</f>
        <v>Rozšírenie interných funkcií pre katalóg a publikovanie</v>
      </c>
      <c r="P2" s="457" t="str">
        <f>MODULY_CBA!$B14</f>
        <v>Rozšírenie správy používateľov a prístupov (funkčne)</v>
      </c>
      <c r="Q2" s="457" t="str">
        <f>MODULY_CBA!$B15</f>
        <v>Kvalita, konzistencia, verzovanie (funkčné prvky)</v>
      </c>
      <c r="R2" s="457" t="str">
        <f>MODULY_CBA!$B16</f>
        <v>Distribúcia – škálovanie a automatizácia</v>
      </c>
      <c r="S2" s="457" t="str">
        <f>MODULY_CBA!$B17</f>
        <v>Prehliadanie a analýzy – pokročilé</v>
      </c>
      <c r="T2" s="457" t="str">
        <f>MODULY_CBA!$B18</f>
        <v>Online tvorba a import – škálovanie</v>
      </c>
      <c r="U2" s="457" t="str">
        <f>MODULY_CBA!$B19</f>
        <v>Podpora stavebného konania – integrácie a audit</v>
      </c>
      <c r="V2" s="457" t="str">
        <f>MODULY_CBA!$B20</f>
        <v>Automatizovaná správa údajov – metadáta, indexácia, archív</v>
      </c>
      <c r="W2" s="457" t="str">
        <f>MODULY_CBA!$B21</f>
        <v>Plánovanie zberu údajov (interná služba)</v>
      </c>
      <c r="X2" s="457" t="str">
        <f>MODULY_CBA!$B22</f>
        <v>Reporty a exporty pre riadenie (funkčne)</v>
      </c>
      <c r="Y2" s="457">
        <f>MODULY_CBA!$B23</f>
        <v>0</v>
      </c>
      <c r="AC2" s="719"/>
      <c r="AD2" s="719"/>
      <c r="AE2" s="719"/>
      <c r="AF2" s="443" t="s">
        <v>104</v>
      </c>
      <c r="AG2" s="457" t="str">
        <f>MODULY_CBA!$B3</f>
        <v>Distribučné služby – poskytovanie údajov</v>
      </c>
      <c r="AH2" s="457" t="str">
        <f>MODULY_CBA!$B4</f>
        <v>Prehliadanie údajov (koncová služba) – základ</v>
      </c>
      <c r="AI2" s="457" t="str">
        <f>MODULY_CBA!$B5</f>
        <v>Služba požiadaviek na 3D mapovanie (koncová služba)</v>
      </c>
      <c r="AJ2" s="457" t="str">
        <f>MODULY_CBA!$B6</f>
        <v>Interné služby – automatizovaná správa údajov (základ)</v>
      </c>
      <c r="AK2" s="457" t="str">
        <f>MODULY_CBA!$B7</f>
        <v>Distribučné služby – rozšírenie o 3D vektor LOD2.x</v>
      </c>
      <c r="AL2" s="457" t="str">
        <f>MODULY_CBA!$B8</f>
        <v>Prehliadanie 3D údajov + základné analýzy (koncová služba)</v>
      </c>
      <c r="AM2" s="457" t="str">
        <f>MODULY_CBA!$B9</f>
        <v>Online vytváranie a dopĺňanie 3D údajov (koncová služba)</v>
      </c>
      <c r="AN2" s="457" t="str">
        <f>MODULY_CBA!$B10</f>
        <v>Validácia a zápis do databázy (autorizované údaje)</v>
      </c>
      <c r="AO2" s="457" t="str">
        <f>MODULY_CBA!$B11</f>
        <v>Podpora stavebného konania (DOK) – koncová služba</v>
      </c>
      <c r="AP2" s="457" t="str">
        <f>MODULY_CBA!$B12</f>
        <v>Vloženie porealizačných údajov nových stavieb</v>
      </c>
      <c r="AQ2" s="457" t="str">
        <f>MODULY_CBA!$B13</f>
        <v>Rozšírenie interných funkcií pre katalóg a publikovanie</v>
      </c>
      <c r="AR2" s="457" t="str">
        <f>MODULY_CBA!$B14</f>
        <v>Rozšírenie správy používateľov a prístupov (funkčne)</v>
      </c>
      <c r="AS2" s="457" t="str">
        <f>MODULY_CBA!$B15</f>
        <v>Kvalita, konzistencia, verzovanie (funkčné prvky)</v>
      </c>
      <c r="AT2" s="457" t="str">
        <f>MODULY_CBA!$B16</f>
        <v>Distribúcia – škálovanie a automatizácia</v>
      </c>
      <c r="AU2" s="457" t="str">
        <f>MODULY_CBA!$B17</f>
        <v>Prehliadanie a analýzy – pokročilé</v>
      </c>
      <c r="AV2" s="457" t="str">
        <f>MODULY_CBA!$B18</f>
        <v>Online tvorba a import – škálovanie</v>
      </c>
      <c r="AW2" s="457" t="str">
        <f>MODULY_CBA!$B19</f>
        <v>Podpora stavebného konania – integrácie a audit</v>
      </c>
      <c r="AX2" s="457" t="str">
        <f>MODULY_CBA!$B20</f>
        <v>Automatizovaná správa údajov – metadáta, indexácia, archív</v>
      </c>
      <c r="AY2" s="457" t="str">
        <f>MODULY_CBA!$B21</f>
        <v>Plánovanie zberu údajov (interná služba)</v>
      </c>
      <c r="AZ2" s="457" t="str">
        <f>MODULY_CBA!$B22</f>
        <v>Reporty a exporty pre riadenie (funkčne)</v>
      </c>
      <c r="BA2" s="457">
        <f>MODULY_CBA!$B23</f>
        <v>0</v>
      </c>
    </row>
    <row r="3" spans="1:53">
      <c r="A3" s="444" t="s">
        <v>258</v>
      </c>
      <c r="B3" s="444"/>
      <c r="C3" s="444"/>
      <c r="D3" s="445">
        <f>SUM(E3:Y3)</f>
        <v>28334441.018983312</v>
      </c>
      <c r="E3" s="445">
        <f>E4+E5+E9+E13+E14</f>
        <v>14233447.557310544</v>
      </c>
      <c r="F3" s="445">
        <f t="shared" ref="F3:Y3" si="0">F4+F5+F9+F13+F14</f>
        <v>537946.18363707664</v>
      </c>
      <c r="G3" s="445">
        <f t="shared" si="0"/>
        <v>739505.76636691799</v>
      </c>
      <c r="H3" s="445">
        <f t="shared" si="0"/>
        <v>956046.12889424758</v>
      </c>
      <c r="I3" s="445">
        <f t="shared" si="0"/>
        <v>251949.47841230172</v>
      </c>
      <c r="J3" s="445">
        <f t="shared" si="0"/>
        <v>552926.96343456488</v>
      </c>
      <c r="K3" s="445">
        <f t="shared" si="0"/>
        <v>1157605.7116240889</v>
      </c>
      <c r="L3" s="445">
        <f t="shared" si="0"/>
        <v>1357803.4052814315</v>
      </c>
      <c r="M3" s="445">
        <f t="shared" si="0"/>
        <v>603316.85911702528</v>
      </c>
      <c r="N3" s="445">
        <f t="shared" si="0"/>
        <v>905656.23321178742</v>
      </c>
      <c r="O3" s="445">
        <f t="shared" si="0"/>
        <v>704096.65048194584</v>
      </c>
      <c r="P3" s="445">
        <f t="shared" si="0"/>
        <v>502537.06775210466</v>
      </c>
      <c r="Q3" s="445">
        <f t="shared" si="0"/>
        <v>571088.51166838419</v>
      </c>
      <c r="R3" s="445">
        <f t="shared" si="0"/>
        <v>857406.60017421341</v>
      </c>
      <c r="S3" s="445">
        <f t="shared" si="0"/>
        <v>971933.83557654521</v>
      </c>
      <c r="T3" s="445">
        <f t="shared" si="0"/>
        <v>914670.21787537914</v>
      </c>
      <c r="U3" s="445">
        <f t="shared" si="0"/>
        <v>458108.94160932698</v>
      </c>
      <c r="V3" s="445">
        <f t="shared" si="0"/>
        <v>800142.98247304745</v>
      </c>
      <c r="W3" s="445">
        <f t="shared" si="0"/>
        <v>914670.21787537914</v>
      </c>
      <c r="X3" s="445">
        <f t="shared" si="0"/>
        <v>343581.70620699524</v>
      </c>
      <c r="Y3" s="445">
        <f t="shared" si="0"/>
        <v>0</v>
      </c>
      <c r="AC3" s="444" t="s">
        <v>258</v>
      </c>
      <c r="AD3" s="444"/>
      <c r="AE3" s="444"/>
      <c r="AF3" s="445">
        <f>SUM(AG3:BA3)</f>
        <v>24326356.907494124</v>
      </c>
      <c r="AG3" s="445">
        <f>AG4+AG5+AG9+AG13+AG14</f>
        <v>12295470.350834653</v>
      </c>
      <c r="AH3" s="445">
        <f>AH4+AH5+AH9+AH13+AH14</f>
        <v>470180.96907722508</v>
      </c>
      <c r="AI3" s="445">
        <f>AI4+AI5+AI9+AI13+AI14</f>
        <v>646350.04103527393</v>
      </c>
      <c r="AJ3" s="445">
        <f>AJ4+AJ5+AJ9+AJ13+AJ14</f>
        <v>835612.76023344824</v>
      </c>
      <c r="AK3" s="445">
        <f>AK5+AK9+AK13+AK14</f>
        <v>215116.76771622198</v>
      </c>
      <c r="AL3" s="445">
        <f>AL4+AL5+AL9+AL13+AL14</f>
        <v>472094.09563668171</v>
      </c>
      <c r="AM3" s="445">
        <f>AM4+AM5+AM9+AM13+AM14</f>
        <v>988374.33815561444</v>
      </c>
      <c r="AN3" s="445">
        <f>AN4+AN5+AN9+AN13+AN14</f>
        <v>1159304.9589895855</v>
      </c>
      <c r="AO3" s="445">
        <f>AO5+AO9+AO13+AO14</f>
        <v>515117.44917992613</v>
      </c>
      <c r="AP3" s="445">
        <f>AP4+AP5+AP9+AP13+AP14</f>
        <v>755816.6925303035</v>
      </c>
      <c r="AQ3" s="445">
        <f>AQ4+AQ5+AQ9+AQ13+AQ14</f>
        <v>587604.85720025084</v>
      </c>
      <c r="AR3" s="445">
        <f>AR4+AR5+AR9+AR13+AR14</f>
        <v>419393.02187019854</v>
      </c>
      <c r="AS3" s="445">
        <f>AS5+AS9+AS13+AS14</f>
        <v>486312.28855037608</v>
      </c>
      <c r="AT3" s="445">
        <f>AT4+AT5+AT9+AT13+AT14</f>
        <v>730127.39256614703</v>
      </c>
      <c r="AU3" s="445">
        <f>AU4+AU5+AU9+AU13+AU14</f>
        <v>827653.4341724558</v>
      </c>
      <c r="AV3" s="445">
        <f>AV4+AV5+AV9+AV13+AV14</f>
        <v>778890.41336930147</v>
      </c>
      <c r="AW3" s="445">
        <f>AW5+AW9+AW13+AW14</f>
        <v>390104.16642523388</v>
      </c>
      <c r="AX3" s="445">
        <f>AX4+AX5+AX9+AX13+AX14</f>
        <v>681364.37176299293</v>
      </c>
      <c r="AY3" s="445">
        <f>AY4+AY5+AY9+AY13+AY14</f>
        <v>778890.41336930147</v>
      </c>
      <c r="AZ3" s="445">
        <f>AZ4+AZ5+AZ9+AZ13+AZ14</f>
        <v>292578.1248189254</v>
      </c>
      <c r="BA3" s="445">
        <f>BA5+BA9+BA13+BA14</f>
        <v>0</v>
      </c>
    </row>
    <row r="4" spans="1:53">
      <c r="A4" s="446"/>
      <c r="B4" s="447" t="s">
        <v>68</v>
      </c>
      <c r="C4" s="447"/>
      <c r="D4" s="448">
        <f>SUM(E4:Y4)</f>
        <v>0</v>
      </c>
      <c r="E4" s="448">
        <f>SUM('Parametre - Agendové IS'!I106:I115)</f>
        <v>0</v>
      </c>
      <c r="F4" s="448">
        <f>SUM('Parametre - Agendové IS'!J106:J115)</f>
        <v>0</v>
      </c>
      <c r="G4" s="448">
        <f>SUM('Parametre - Agendové IS'!K106:K115)</f>
        <v>0</v>
      </c>
      <c r="H4" s="448">
        <f>SUM('Parametre - Agendové IS'!L106:L115)</f>
        <v>0</v>
      </c>
      <c r="I4" s="448">
        <f>SUM('Parametre - Agendové IS'!M106:M115)</f>
        <v>0</v>
      </c>
      <c r="J4" s="448">
        <f>SUM('Parametre - Agendové IS'!N106:N115)</f>
        <v>0</v>
      </c>
      <c r="K4" s="448">
        <f>SUM('Parametre - Agendové IS'!O106:O115)</f>
        <v>0</v>
      </c>
      <c r="L4" s="448">
        <f>SUM('Parametre - Agendové IS'!P106:P115)</f>
        <v>0</v>
      </c>
      <c r="M4" s="448">
        <f>SUM('Parametre - Agendové IS'!Q106:Q115)</f>
        <v>0</v>
      </c>
      <c r="N4" s="448">
        <f>SUM('Parametre - Agendové IS'!R106:R115)</f>
        <v>0</v>
      </c>
      <c r="O4" s="448">
        <f>SUM('Parametre - Agendové IS'!S106:S115)</f>
        <v>0</v>
      </c>
      <c r="P4" s="448">
        <f>SUM('Parametre - Agendové IS'!T106:T115)</f>
        <v>0</v>
      </c>
      <c r="Q4" s="448">
        <f>SUM('Parametre - Agendové IS'!U106:U115)</f>
        <v>0</v>
      </c>
      <c r="R4" s="448">
        <f>SUM('Parametre - Agendové IS'!V106:V115)</f>
        <v>0</v>
      </c>
      <c r="S4" s="448">
        <f>SUM('Parametre - Agendové IS'!W106:W115)</f>
        <v>0</v>
      </c>
      <c r="T4" s="448">
        <f>SUM('Parametre - Agendové IS'!X106:X115)</f>
        <v>0</v>
      </c>
      <c r="U4" s="448">
        <f>SUM('Parametre - Agendové IS'!Y106:Y115)</f>
        <v>0</v>
      </c>
      <c r="V4" s="448">
        <f>SUM('Parametre - Agendové IS'!Z106:Z115)</f>
        <v>0</v>
      </c>
      <c r="W4" s="448">
        <f>SUM('Parametre - Agendové IS'!AA106:AA115)</f>
        <v>0</v>
      </c>
      <c r="X4" s="448">
        <f>SUM('Parametre - Agendové IS'!AB106:AB115)</f>
        <v>0</v>
      </c>
      <c r="Y4" s="448">
        <f>SUM('Parametre - Agendové IS'!AC106:AC115)</f>
        <v>0</v>
      </c>
      <c r="AC4" s="446"/>
      <c r="AD4" s="447" t="s">
        <v>68</v>
      </c>
      <c r="AE4" s="447"/>
      <c r="AF4" s="448">
        <f>SUM(AG4:BA4)</f>
        <v>0</v>
      </c>
      <c r="AG4" s="448">
        <f>'Parametre - Agendové IS'!I106+NPV(Faktory!$D$5,'Parametre - Agendové IS'!I107:I115)</f>
        <v>0</v>
      </c>
      <c r="AH4" s="448">
        <f>'Parametre - Agendové IS'!J106+NPV(Faktory!$D$5,'Parametre - Agendové IS'!J107:J115)</f>
        <v>0</v>
      </c>
      <c r="AI4" s="448">
        <f>'Parametre - Agendové IS'!K106+NPV(Faktory!$D$5,'Parametre - Agendové IS'!K107:K115)</f>
        <v>0</v>
      </c>
      <c r="AJ4" s="448">
        <f>'Parametre - Agendové IS'!L106+NPV(Faktory!$D$5,'Parametre - Agendové IS'!L107:L115)</f>
        <v>0</v>
      </c>
      <c r="AK4" s="448">
        <f>'Parametre - Agendové IS'!M106+NPV(Faktory!$D$5,'Parametre - Agendové IS'!M107:M115)</f>
        <v>0</v>
      </c>
      <c r="AL4" s="448">
        <f>'Parametre - Agendové IS'!N106+NPV(Faktory!$D$5,'Parametre - Agendové IS'!N107:N115)</f>
        <v>0</v>
      </c>
      <c r="AM4" s="448">
        <f>'Parametre - Agendové IS'!O106+NPV(Faktory!$D$5,'Parametre - Agendové IS'!O107:O115)</f>
        <v>0</v>
      </c>
      <c r="AN4" s="448">
        <f>'Parametre - Agendové IS'!P106+NPV(Faktory!$D$5,'Parametre - Agendové IS'!P107:P115)</f>
        <v>0</v>
      </c>
      <c r="AO4" s="448">
        <f>'Parametre - Agendové IS'!Q106+NPV(Faktory!$D$5,'Parametre - Agendové IS'!Q107:Q115)</f>
        <v>0</v>
      </c>
      <c r="AP4" s="448">
        <f>'Parametre - Agendové IS'!R106+NPV(Faktory!$D$5,'Parametre - Agendové IS'!R107:R115)</f>
        <v>0</v>
      </c>
      <c r="AQ4" s="448">
        <f>'Parametre - Agendové IS'!S106+NPV(Faktory!$D$5,'Parametre - Agendové IS'!S107:S115)</f>
        <v>0</v>
      </c>
      <c r="AR4" s="448">
        <f>'Parametre - Agendové IS'!T106+NPV(Faktory!$D$5,'Parametre - Agendové IS'!T107:T115)</f>
        <v>0</v>
      </c>
      <c r="AS4" s="448">
        <f>'Parametre - Agendové IS'!U106+NPV(Faktory!$D$5,'Parametre - Agendové IS'!U107:U115)</f>
        <v>0</v>
      </c>
      <c r="AT4" s="448">
        <f>'Parametre - Agendové IS'!V106+NPV(Faktory!$D$5,'Parametre - Agendové IS'!V107:V115)</f>
        <v>0</v>
      </c>
      <c r="AU4" s="448">
        <f>'Parametre - Agendové IS'!W106+NPV(Faktory!$D$5,'Parametre - Agendové IS'!W107:W115)</f>
        <v>0</v>
      </c>
      <c r="AV4" s="448">
        <f>'Parametre - Agendové IS'!X106+NPV(Faktory!$D$5,'Parametre - Agendové IS'!X107:X115)</f>
        <v>0</v>
      </c>
      <c r="AW4" s="448">
        <f>'Parametre - Agendové IS'!Y106+NPV(Faktory!$D$5,'Parametre - Agendové IS'!Y107:Y115)</f>
        <v>0</v>
      </c>
      <c r="AX4" s="448">
        <f>'Parametre - Agendové IS'!Z106+NPV(Faktory!$D$5,'Parametre - Agendové IS'!Z107:Z115)</f>
        <v>0</v>
      </c>
      <c r="AY4" s="448">
        <f>'Parametre - Agendové IS'!AA106+NPV(Faktory!$D$5,'Parametre - Agendové IS'!AA107:AA115)</f>
        <v>0</v>
      </c>
      <c r="AZ4" s="448">
        <f>'Parametre - Agendové IS'!AB106+NPV(Faktory!$D$5,'Parametre - Agendové IS'!AB107:AB115)</f>
        <v>0</v>
      </c>
      <c r="BA4" s="448">
        <f>'Parametre - Agendové IS'!AC106+NPV(Faktory!$D$5,'Parametre - Agendové IS'!AC107:AC115)</f>
        <v>0</v>
      </c>
    </row>
    <row r="5" spans="1:53">
      <c r="A5" s="446"/>
      <c r="B5" s="447" t="s">
        <v>165</v>
      </c>
      <c r="C5" s="447"/>
      <c r="D5" s="448">
        <f>SUM(E5:Y5)</f>
        <v>21610701.136599988</v>
      </c>
      <c r="E5" s="448">
        <f>SUM(E6:E8)</f>
        <v>10578475.648720961</v>
      </c>
      <c r="F5" s="448">
        <f>SUM(F6:F8)</f>
        <v>423023.49657248176</v>
      </c>
      <c r="G5" s="448">
        <f>SUM(G6:G8)</f>
        <v>581523.43959204445</v>
      </c>
      <c r="H5" s="448">
        <f>SUM(H6:H8)</f>
        <v>751803.78378198016</v>
      </c>
      <c r="I5" s="448">
        <f>SUM(I6:I8)</f>
        <v>198124.92877445347</v>
      </c>
      <c r="J5" s="448">
        <f>SUM(J6+J7)</f>
        <v>434803.89774285466</v>
      </c>
      <c r="K5" s="448">
        <f>SUM(K6:K8)</f>
        <v>910303.72680154291</v>
      </c>
      <c r="L5" s="448">
        <f>SUM(L6:L8)</f>
        <v>1067732.7242601628</v>
      </c>
      <c r="M5" s="448">
        <f>SUM(M6:M8)</f>
        <v>474428.88349774538</v>
      </c>
      <c r="N5" s="448">
        <f>SUM(N6+N7)</f>
        <v>712178.79802708956</v>
      </c>
      <c r="O5" s="448">
        <f>SUM(O6:O8)</f>
        <v>553678.8550075267</v>
      </c>
      <c r="P5" s="448">
        <f>SUM(P6:P8)</f>
        <v>395178.91198796406</v>
      </c>
      <c r="Q5" s="448">
        <f>SUM(Q6:Q8)</f>
        <v>443568.16651710251</v>
      </c>
      <c r="R5" s="448">
        <f>SUM(R6+R7)</f>
        <v>665953.29065169301</v>
      </c>
      <c r="S5" s="448">
        <f>SUM(S6:S8)</f>
        <v>754907.3403055293</v>
      </c>
      <c r="T5" s="448">
        <f>SUM(T6:T8)</f>
        <v>710430.31547861104</v>
      </c>
      <c r="U5" s="448">
        <f>SUM(U6:U8)</f>
        <v>355816.19861534494</v>
      </c>
      <c r="V5" s="448">
        <f>SUM(V6+V7)</f>
        <v>621476.26582477486</v>
      </c>
      <c r="W5" s="448">
        <f>SUM(W6:W8)</f>
        <v>710430.31547861104</v>
      </c>
      <c r="X5" s="448">
        <f>SUM(X6:X8)</f>
        <v>266862.14896150876</v>
      </c>
      <c r="Y5" s="448">
        <f>SUM(Y6:Y8)</f>
        <v>0</v>
      </c>
      <c r="AC5" s="446"/>
      <c r="AD5" s="447" t="s">
        <v>165</v>
      </c>
      <c r="AE5" s="447"/>
      <c r="AF5" s="448">
        <f>SUM(AG5:BA5)</f>
        <v>18869032.746767502</v>
      </c>
      <c r="AG5" s="448">
        <f>SUM(AG6:AG8)</f>
        <v>9383825.1145423707</v>
      </c>
      <c r="AH5" s="448">
        <f t="shared" ref="AH5:BA5" si="1">SUM(AH6:AH8)</f>
        <v>375250.52219204593</v>
      </c>
      <c r="AI5" s="448">
        <f t="shared" si="1"/>
        <v>515850.71784881246</v>
      </c>
      <c r="AJ5" s="448">
        <f t="shared" si="1"/>
        <v>666900.92804763606</v>
      </c>
      <c r="AK5" s="448">
        <f t="shared" si="1"/>
        <v>170936.71374553419</v>
      </c>
      <c r="AL5" s="448">
        <f t="shared" si="1"/>
        <v>375136.78800371283</v>
      </c>
      <c r="AM5" s="448">
        <f t="shared" si="1"/>
        <v>785384.90099299478</v>
      </c>
      <c r="AN5" s="448">
        <f t="shared" si="1"/>
        <v>921210.28975295997</v>
      </c>
      <c r="AO5" s="448">
        <f t="shared" si="1"/>
        <v>409324.13075281971</v>
      </c>
      <c r="AP5" s="448">
        <f t="shared" si="1"/>
        <v>597969.43307033344</v>
      </c>
      <c r="AQ5" s="448">
        <f t="shared" si="1"/>
        <v>464887.51413137186</v>
      </c>
      <c r="AR5" s="448">
        <f t="shared" si="1"/>
        <v>331805.59519241058</v>
      </c>
      <c r="AS5" s="448">
        <f t="shared" si="1"/>
        <v>379042.7246137124</v>
      </c>
      <c r="AT5" s="448">
        <f t="shared" si="1"/>
        <v>569077.69494850026</v>
      </c>
      <c r="AU5" s="448">
        <f t="shared" si="1"/>
        <v>645091.68308241572</v>
      </c>
      <c r="AV5" s="448">
        <f t="shared" si="1"/>
        <v>607084.68901545799</v>
      </c>
      <c r="AW5" s="448">
        <f t="shared" si="1"/>
        <v>304055.95253566082</v>
      </c>
      <c r="AX5" s="448">
        <f t="shared" si="1"/>
        <v>531070.70088154275</v>
      </c>
      <c r="AY5" s="448">
        <f t="shared" si="1"/>
        <v>607084.68901545799</v>
      </c>
      <c r="AZ5" s="448">
        <f t="shared" si="1"/>
        <v>228041.96440174564</v>
      </c>
      <c r="BA5" s="448">
        <f t="shared" si="1"/>
        <v>0</v>
      </c>
    </row>
    <row r="6" spans="1:53">
      <c r="A6" s="449"/>
      <c r="B6" s="449"/>
      <c r="C6" s="450" t="s">
        <v>106</v>
      </c>
      <c r="D6" s="461">
        <f>SUM(E6:Y6)</f>
        <v>12986701.136599982</v>
      </c>
      <c r="E6" s="461">
        <f>SUM('TCO TO BE- SW'!F37:F46)+SUM('TCO TO BE- SW'!F120:F129)</f>
        <v>1954475.6487209601</v>
      </c>
      <c r="F6" s="461">
        <f>SUM('TCO TO BE- SW'!G37:G46)+SUM('TCO TO BE- SW'!G120:G129)</f>
        <v>423023.49657248176</v>
      </c>
      <c r="G6" s="461">
        <f>SUM('TCO TO BE- SW'!H37:H46)+SUM('TCO TO BE- SW'!H120:H129)</f>
        <v>581523.43959204445</v>
      </c>
      <c r="H6" s="461">
        <f>SUM('TCO TO BE- SW'!I37:I46)+SUM('TCO TO BE- SW'!I120:I129)</f>
        <v>751803.78378198016</v>
      </c>
      <c r="I6" s="461">
        <f>SUM('TCO TO BE- SW'!J37:J46)+SUM('TCO TO BE- SW'!J120:J129)</f>
        <v>198124.92877445347</v>
      </c>
      <c r="J6" s="461">
        <f>SUM('TCO TO BE- SW'!K37:K46)+SUM('TCO TO BE- SW'!K120:K129)</f>
        <v>434803.89774285466</v>
      </c>
      <c r="K6" s="461">
        <f>SUM('TCO TO BE- SW'!L37:L46)+SUM('TCO TO BE- SW'!L120:L129)</f>
        <v>910303.72680154291</v>
      </c>
      <c r="L6" s="461">
        <f>SUM('TCO TO BE- SW'!M37:M46)+SUM('TCO TO BE- SW'!M120:M129)</f>
        <v>1067732.7242601628</v>
      </c>
      <c r="M6" s="461">
        <f>SUM('TCO TO BE- SW'!N37:N46)+SUM('TCO TO BE- SW'!N120:N129)</f>
        <v>474428.88349774538</v>
      </c>
      <c r="N6" s="461">
        <f>SUM('TCO TO BE- SW'!O37:O46)+SUM('TCO TO BE- SW'!O120:O129)</f>
        <v>712178.79802708956</v>
      </c>
      <c r="O6" s="461">
        <f>SUM('TCO TO BE- SW'!P37:P46)+SUM('TCO TO BE- SW'!P120:P129)</f>
        <v>553678.8550075267</v>
      </c>
      <c r="P6" s="461">
        <f>SUM('TCO TO BE- SW'!Q37:Q46)+SUM('TCO TO BE- SW'!Q120:Q129)</f>
        <v>395178.91198796406</v>
      </c>
      <c r="Q6" s="461">
        <f>SUM('TCO TO BE- SW'!R37:R46)+SUM('TCO TO BE- SW'!R120:R129)</f>
        <v>443568.16651710251</v>
      </c>
      <c r="R6" s="461">
        <f>SUM('TCO TO BE- SW'!S37:S46)+SUM('TCO TO BE- SW'!S120:S129)</f>
        <v>665953.29065169301</v>
      </c>
      <c r="S6" s="461">
        <f>SUM('TCO TO BE- SW'!T37:T46)+SUM('TCO TO BE- SW'!T120:T129)</f>
        <v>754907.3403055293</v>
      </c>
      <c r="T6" s="461">
        <f>SUM('TCO TO BE- SW'!U37:U46)+SUM('TCO TO BE- SW'!U120:U129)</f>
        <v>710430.31547861104</v>
      </c>
      <c r="U6" s="461">
        <f>SUM('TCO TO BE- SW'!V37:V46)+SUM('TCO TO BE- SW'!V120:V129)</f>
        <v>355816.19861534494</v>
      </c>
      <c r="V6" s="461">
        <f>SUM('TCO TO BE- SW'!W37:W46)+SUM('TCO TO BE- SW'!W120:W129)</f>
        <v>621476.26582477486</v>
      </c>
      <c r="W6" s="461">
        <f>SUM('TCO TO BE- SW'!X37:X46)+SUM('TCO TO BE- SW'!X120:X129)</f>
        <v>710430.31547861104</v>
      </c>
      <c r="X6" s="461">
        <f>SUM('TCO TO BE- SW'!Y37:Y46)+SUM('TCO TO BE- SW'!Y120:Y129)</f>
        <v>266862.14896150876</v>
      </c>
      <c r="Y6" s="461">
        <f>SUM('TCO TO BE- SW'!Z37:Z46)+SUM('TCO TO BE- SW'!Z120:Z129)</f>
        <v>0</v>
      </c>
      <c r="AC6" s="449"/>
      <c r="AD6" s="449"/>
      <c r="AE6" s="450" t="s">
        <v>106</v>
      </c>
      <c r="AF6" s="461">
        <f>SUM(AG6:BA6)</f>
        <v>11218960.044884579</v>
      </c>
      <c r="AG6" s="461">
        <f>('TCO TO BE- SW'!F37+NPV(Faktory!$D$5,'TCO TO BE- SW'!F38:F46)+'TCO TO BE- SW'!F120+NPV(Faktory!$D$5,'TCO TO BE- SW'!F121:F129))</f>
        <v>1733752.4126594528</v>
      </c>
      <c r="AH6" s="461">
        <f>('TCO TO BE- SW'!G37+NPV(Faktory!$D$5,'TCO TO BE- SW'!G38:G46)+'TCO TO BE- SW'!G120+NPV(Faktory!$D$5,'TCO TO BE- SW'!G121:G129))</f>
        <v>375250.52219204593</v>
      </c>
      <c r="AI6" s="461">
        <f>('TCO TO BE- SW'!H37+NPV(Faktory!$D$5,'TCO TO BE- SW'!H38:H46)+'TCO TO BE- SW'!H120+NPV(Faktory!$D$5,'TCO TO BE- SW'!H121:H129))</f>
        <v>515850.71784881246</v>
      </c>
      <c r="AJ6" s="461">
        <f>('TCO TO BE- SW'!I37+NPV(Faktory!$D$5,'TCO TO BE- SW'!I38:I46)+'TCO TO BE- SW'!I120+NPV(Faktory!$D$5,'TCO TO BE- SW'!I121:I129))</f>
        <v>666900.92804763606</v>
      </c>
      <c r="AK6" s="461">
        <f>('TCO TO BE- SW'!J37+NPV(Faktory!$D$5,'TCO TO BE- SW'!J38:J46)+'TCO TO BE- SW'!J120+NPV(Faktory!$D$5,'TCO TO BE- SW'!J121:J129))</f>
        <v>170936.71374553419</v>
      </c>
      <c r="AL6" s="461">
        <f>('TCO TO BE- SW'!K37+NPV(Faktory!$D$5,'TCO TO BE- SW'!K38:K46)+'TCO TO BE- SW'!K120+NPV(Faktory!$D$5,'TCO TO BE- SW'!K121:K129))</f>
        <v>375136.78800371283</v>
      </c>
      <c r="AM6" s="461">
        <f>('TCO TO BE- SW'!L37+NPV(Faktory!$D$5,'TCO TO BE- SW'!L38:L46)+'TCO TO BE- SW'!L120+NPV(Faktory!$D$5,'TCO TO BE- SW'!L121:L129))</f>
        <v>785384.90099299478</v>
      </c>
      <c r="AN6" s="461">
        <f>('TCO TO BE- SW'!M37+NPV(Faktory!$D$5,'TCO TO BE- SW'!M38:M46)+'TCO TO BE- SW'!M120+NPV(Faktory!$D$5,'TCO TO BE- SW'!M121:M129))</f>
        <v>921210.28975295997</v>
      </c>
      <c r="AO6" s="461">
        <f>('TCO TO BE- SW'!N37+NPV(Faktory!$D$5,'TCO TO BE- SW'!N38:N46)+'TCO TO BE- SW'!N120+NPV(Faktory!$D$5,'TCO TO BE- SW'!N121:N129))</f>
        <v>409324.13075281971</v>
      </c>
      <c r="AP6" s="461">
        <f>('TCO TO BE- SW'!O37+NPV(Faktory!$D$5,'TCO TO BE- SW'!O38:O46)+'TCO TO BE- SW'!O120+NPV(Faktory!$D$5,'TCO TO BE- SW'!O121:O129))</f>
        <v>597969.43307033344</v>
      </c>
      <c r="AQ6" s="461">
        <f>('TCO TO BE- SW'!P37+NPV(Faktory!$D$5,'TCO TO BE- SW'!P38:P46)+'TCO TO BE- SW'!P120+NPV(Faktory!$D$5,'TCO TO BE- SW'!P121:P129))</f>
        <v>464887.51413137186</v>
      </c>
      <c r="AR6" s="461">
        <f>('TCO TO BE- SW'!Q37+NPV(Faktory!$D$5,'TCO TO BE- SW'!Q38:Q46)+'TCO TO BE- SW'!Q120+NPV(Faktory!$D$5,'TCO TO BE- SW'!Q121:Q129))</f>
        <v>331805.59519241058</v>
      </c>
      <c r="AS6" s="461">
        <f>('TCO TO BE- SW'!R37+NPV(Faktory!$D$5,'TCO TO BE- SW'!R38:R46)+'TCO TO BE- SW'!R120+NPV(Faktory!$D$5,'TCO TO BE- SW'!R121:R129))</f>
        <v>379042.7246137124</v>
      </c>
      <c r="AT6" s="461">
        <f>('TCO TO BE- SW'!S37+NPV(Faktory!$D$5,'TCO TO BE- SW'!S38:S46)+'TCO TO BE- SW'!S120+NPV(Faktory!$D$5,'TCO TO BE- SW'!S121:S129))</f>
        <v>569077.69494850026</v>
      </c>
      <c r="AU6" s="461">
        <f>('TCO TO BE- SW'!T37+NPV(Faktory!$D$5,'TCO TO BE- SW'!T38:T46)+'TCO TO BE- SW'!T120+NPV(Faktory!$D$5,'TCO TO BE- SW'!T121:T129))</f>
        <v>645091.68308241572</v>
      </c>
      <c r="AV6" s="461">
        <f>('TCO TO BE- SW'!U37+NPV(Faktory!$D$5,'TCO TO BE- SW'!U38:U46)+'TCO TO BE- SW'!U120+NPV(Faktory!$D$5,'TCO TO BE- SW'!U121:U129))</f>
        <v>607084.68901545799</v>
      </c>
      <c r="AW6" s="461">
        <f>('TCO TO BE- SW'!V37+NPV(Faktory!$D$5,'TCO TO BE- SW'!V38:V46)+'TCO TO BE- SW'!V120+NPV(Faktory!$D$5,'TCO TO BE- SW'!V121:V129))</f>
        <v>304055.95253566082</v>
      </c>
      <c r="AX6" s="461">
        <f>('TCO TO BE- SW'!W37+NPV(Faktory!$D$5,'TCO TO BE- SW'!W38:W46)+'TCO TO BE- SW'!W120+NPV(Faktory!$D$5,'TCO TO BE- SW'!W121:W129))</f>
        <v>531070.70088154275</v>
      </c>
      <c r="AY6" s="461">
        <f>('TCO TO BE- SW'!X37+NPV(Faktory!$D$5,'TCO TO BE- SW'!X38:X46)+'TCO TO BE- SW'!X120+NPV(Faktory!$D$5,'TCO TO BE- SW'!X121:X129))</f>
        <v>607084.68901545799</v>
      </c>
      <c r="AZ6" s="461">
        <f>('TCO TO BE- SW'!Y37+NPV(Faktory!$D$5,'TCO TO BE- SW'!Y38:Y46)+'TCO TO BE- SW'!Y120+NPV(Faktory!$D$5,'TCO TO BE- SW'!Y121:Y129))</f>
        <v>228041.96440174564</v>
      </c>
      <c r="BA6" s="461">
        <f>('TCO TO BE- SW'!Z37+NPV(Faktory!$D$5,'TCO TO BE- SW'!Z38:Z46)+'TCO TO BE- SW'!Z120+NPV(Faktory!$D$5,'TCO TO BE- SW'!Z121:Z129))</f>
        <v>0</v>
      </c>
    </row>
    <row r="7" spans="1:53">
      <c r="A7" s="449"/>
      <c r="B7" s="449"/>
      <c r="C7" s="450" t="s">
        <v>67</v>
      </c>
      <c r="D7" s="461">
        <f>SUM(E7:Y7)</f>
        <v>8624000</v>
      </c>
      <c r="E7" s="461">
        <f>SUM('TCO TO BE- SW'!F6:F15)+SUM('TCO TO BE- SW'!F89:F98)</f>
        <v>8624000</v>
      </c>
      <c r="F7" s="461">
        <f>SUM('TCO TO BE- SW'!G6:G15)+SUM('TCO TO BE- SW'!G89:G98)</f>
        <v>0</v>
      </c>
      <c r="G7" s="461">
        <f>SUM('TCO TO BE- SW'!H6:H15)+SUM('TCO TO BE- SW'!H89:H98)</f>
        <v>0</v>
      </c>
      <c r="H7" s="461">
        <f>SUM('TCO TO BE- SW'!I6:I15)+SUM('TCO TO BE- SW'!I89:I98)</f>
        <v>0</v>
      </c>
      <c r="I7" s="461">
        <f>SUM('TCO TO BE- SW'!J6:J15)+SUM('TCO TO BE- SW'!J89:J98)</f>
        <v>0</v>
      </c>
      <c r="J7" s="461">
        <f>SUM('TCO TO BE- SW'!K6:K15)+SUM('TCO TO BE- SW'!K89:K98)</f>
        <v>0</v>
      </c>
      <c r="K7" s="461">
        <f>SUM('TCO TO BE- SW'!L6:L15)+SUM('TCO TO BE- SW'!L89:L98)</f>
        <v>0</v>
      </c>
      <c r="L7" s="461">
        <f>SUM('TCO TO BE- SW'!M6:M15)+SUM('TCO TO BE- SW'!M89:M98)</f>
        <v>0</v>
      </c>
      <c r="M7" s="461">
        <f>SUM('TCO TO BE- SW'!N6:N15)+SUM('TCO TO BE- SW'!N89:N98)</f>
        <v>0</v>
      </c>
      <c r="N7" s="461">
        <f>SUM('TCO TO BE- SW'!O6:O15)+SUM('TCO TO BE- SW'!O89:O98)</f>
        <v>0</v>
      </c>
      <c r="O7" s="461">
        <f>SUM('TCO TO BE- SW'!P6:P15)+SUM('TCO TO BE- SW'!P89:P98)</f>
        <v>0</v>
      </c>
      <c r="P7" s="461">
        <f>SUM('TCO TO BE- SW'!Q6:Q15)+SUM('TCO TO BE- SW'!Q89:Q98)</f>
        <v>0</v>
      </c>
      <c r="Q7" s="461">
        <f>SUM('TCO TO BE- SW'!R6:R15)+SUM('TCO TO BE- SW'!R89:R98)</f>
        <v>0</v>
      </c>
      <c r="R7" s="461">
        <f>SUM('TCO TO BE- SW'!S6:S15)+SUM('TCO TO BE- SW'!S89:S98)</f>
        <v>0</v>
      </c>
      <c r="S7" s="461">
        <f>SUM('TCO TO BE- SW'!T6:T15)+SUM('TCO TO BE- SW'!T89:T98)</f>
        <v>0</v>
      </c>
      <c r="T7" s="461">
        <f>SUM('TCO TO BE- SW'!U6:U15)+SUM('TCO TO BE- SW'!U89:U98)</f>
        <v>0</v>
      </c>
      <c r="U7" s="461">
        <f>SUM('TCO TO BE- SW'!V6:V15)+SUM('TCO TO BE- SW'!V89:V98)</f>
        <v>0</v>
      </c>
      <c r="V7" s="461">
        <f>SUM('TCO TO BE- SW'!W6:W15)+SUM('TCO TO BE- SW'!W89:W98)</f>
        <v>0</v>
      </c>
      <c r="W7" s="461">
        <f>SUM('TCO TO BE- SW'!X6:X15)+SUM('TCO TO BE- SW'!X89:X98)</f>
        <v>0</v>
      </c>
      <c r="X7" s="461">
        <f>SUM('TCO TO BE- SW'!Y6:Y15)+SUM('TCO TO BE- SW'!Y89:Y98)</f>
        <v>0</v>
      </c>
      <c r="Y7" s="461">
        <f>SUM('TCO TO BE- SW'!Z6:Z15)+SUM('TCO TO BE- SW'!Z89:Z98)</f>
        <v>0</v>
      </c>
      <c r="AC7" s="449"/>
      <c r="AD7" s="449"/>
      <c r="AE7" s="450" t="s">
        <v>67</v>
      </c>
      <c r="AF7" s="461">
        <f>SUM(AG7:BA7)</f>
        <v>7650072.7018829174</v>
      </c>
      <c r="AG7" s="461">
        <f>('TCO TO BE- SW'!F6+NPV(Faktory!$D$5,'TCO TO BE- SW'!F7:F15)+'TCO TO BE- SW'!F89+NPV(Faktory!$D$5,'TCO TO BE- SW'!F90:F98))</f>
        <v>7650072.7018829174</v>
      </c>
      <c r="AH7" s="461">
        <f>('TCO TO BE- SW'!G6+NPV(Faktory!$D$5,'TCO TO BE- SW'!G7:G15)+'TCO TO BE- SW'!G89+NPV(Faktory!$D$5,'TCO TO BE- SW'!G90:G98))</f>
        <v>0</v>
      </c>
      <c r="AI7" s="461">
        <f>('TCO TO BE- SW'!H6+NPV(Faktory!$D$5,'TCO TO BE- SW'!H7:H15)+'TCO TO BE- SW'!H89+NPV(Faktory!$D$5,'TCO TO BE- SW'!H90:H98))</f>
        <v>0</v>
      </c>
      <c r="AJ7" s="461">
        <f>('TCO TO BE- SW'!I6+NPV(Faktory!$D$5,'TCO TO BE- SW'!I7:I15)+'TCO TO BE- SW'!I89+NPV(Faktory!$D$5,'TCO TO BE- SW'!I90:I98))</f>
        <v>0</v>
      </c>
      <c r="AK7" s="461">
        <f>('TCO TO BE- SW'!J6+NPV(Faktory!$D$5,'TCO TO BE- SW'!J7:J15)+'TCO TO BE- SW'!J89+NPV(Faktory!$D$5,'TCO TO BE- SW'!J90:J98))</f>
        <v>0</v>
      </c>
      <c r="AL7" s="461">
        <f>('TCO TO BE- SW'!K6+NPV(Faktory!$D$5,'TCO TO BE- SW'!K7:K15)+'TCO TO BE- SW'!K89+NPV(Faktory!$D$5,'TCO TO BE- SW'!K90:K98))</f>
        <v>0</v>
      </c>
      <c r="AM7" s="461">
        <f>('TCO TO BE- SW'!L6+NPV(Faktory!$D$5,'TCO TO BE- SW'!L7:L15)+'TCO TO BE- SW'!L89+NPV(Faktory!$D$5,'TCO TO BE- SW'!L90:L98))</f>
        <v>0</v>
      </c>
      <c r="AN7" s="461">
        <f>('TCO TO BE- SW'!M6+NPV(Faktory!$D$5,'TCO TO BE- SW'!M7:M15)+'TCO TO BE- SW'!M89+NPV(Faktory!$D$5,'TCO TO BE- SW'!M90:M98))</f>
        <v>0</v>
      </c>
      <c r="AO7" s="461">
        <f>('TCO TO BE- SW'!N6+NPV(Faktory!$D$5,'TCO TO BE- SW'!N7:N15)+'TCO TO BE- SW'!N89+NPV(Faktory!$D$5,'TCO TO BE- SW'!N90:N98))</f>
        <v>0</v>
      </c>
      <c r="AP7" s="461">
        <f>('TCO TO BE- SW'!O6+NPV(Faktory!$D$5,'TCO TO BE- SW'!O7:O15)+'TCO TO BE- SW'!O89+NPV(Faktory!$D$5,'TCO TO BE- SW'!O90:O98))</f>
        <v>0</v>
      </c>
      <c r="AQ7" s="461">
        <f>('TCO TO BE- SW'!P6+NPV(Faktory!$D$5,'TCO TO BE- SW'!P7:P15)+'TCO TO BE- SW'!P89+NPV(Faktory!$D$5,'TCO TO BE- SW'!P90:P98))</f>
        <v>0</v>
      </c>
      <c r="AR7" s="461">
        <f>('TCO TO BE- SW'!Q6+NPV(Faktory!$D$5,'TCO TO BE- SW'!Q7:Q15)+'TCO TO BE- SW'!Q89+NPV(Faktory!$D$5,'TCO TO BE- SW'!Q90:Q98))</f>
        <v>0</v>
      </c>
      <c r="AS7" s="461">
        <f>('TCO TO BE- SW'!R6+NPV(Faktory!$D$5,'TCO TO BE- SW'!R7:R15)+'TCO TO BE- SW'!R89+NPV(Faktory!$D$5,'TCO TO BE- SW'!R90:R98))</f>
        <v>0</v>
      </c>
      <c r="AT7" s="461">
        <f>('TCO TO BE- SW'!S6+NPV(Faktory!$D$5,'TCO TO BE- SW'!S7:S15)+'TCO TO BE- SW'!S89+NPV(Faktory!$D$5,'TCO TO BE- SW'!S90:S98))</f>
        <v>0</v>
      </c>
      <c r="AU7" s="461">
        <f>('TCO TO BE- SW'!T6+NPV(Faktory!$D$5,'TCO TO BE- SW'!T7:T15)+'TCO TO BE- SW'!T89+NPV(Faktory!$D$5,'TCO TO BE- SW'!T90:T98))</f>
        <v>0</v>
      </c>
      <c r="AV7" s="461">
        <f>('TCO TO BE- SW'!U6+NPV(Faktory!$D$5,'TCO TO BE- SW'!U7:U15)+'TCO TO BE- SW'!U89+NPV(Faktory!$D$5,'TCO TO BE- SW'!U90:U98))</f>
        <v>0</v>
      </c>
      <c r="AW7" s="461">
        <f>('TCO TO BE- SW'!V6+NPV(Faktory!$D$5,'TCO TO BE- SW'!V7:V15)+'TCO TO BE- SW'!V89+NPV(Faktory!$D$5,'TCO TO BE- SW'!V90:V98))</f>
        <v>0</v>
      </c>
      <c r="AX7" s="461">
        <f>('TCO TO BE- SW'!W6+NPV(Faktory!$D$5,'TCO TO BE- SW'!W7:W15)+'TCO TO BE- SW'!W89+NPV(Faktory!$D$5,'TCO TO BE- SW'!W90:W98))</f>
        <v>0</v>
      </c>
      <c r="AY7" s="461">
        <f>('TCO TO BE- SW'!X6+NPV(Faktory!$D$5,'TCO TO BE- SW'!X7:X15)+'TCO TO BE- SW'!X89+NPV(Faktory!$D$5,'TCO TO BE- SW'!X90:X98))</f>
        <v>0</v>
      </c>
      <c r="AZ7" s="461">
        <f>('TCO TO BE- SW'!Y6+NPV(Faktory!$D$5,'TCO TO BE- SW'!Y7:Y15)+'TCO TO BE- SW'!Y89+NPV(Faktory!$D$5,'TCO TO BE- SW'!Y90:Y98))</f>
        <v>0</v>
      </c>
      <c r="BA7" s="461">
        <f>('TCO TO BE- SW'!Z6+NPV(Faktory!$D$5,'TCO TO BE- SW'!Z7:Z15)+'TCO TO BE- SW'!Z89+NPV(Faktory!$D$5,'TCO TO BE- SW'!Z90:Z98))</f>
        <v>0</v>
      </c>
    </row>
    <row r="8" spans="1:53">
      <c r="A8" s="449"/>
      <c r="B8" s="449"/>
      <c r="C8" s="450" t="s">
        <v>66</v>
      </c>
      <c r="D8" s="461">
        <f>SUM(E8:X8)</f>
        <v>0</v>
      </c>
      <c r="E8" s="461">
        <f>SUM('TCO TO BE - HW'!F5:F14)+SUM('TCO TO BE - HW'!F66:F75)</f>
        <v>0</v>
      </c>
      <c r="F8" s="461">
        <f>SUM('TCO TO BE - HW'!G5:G14)+SUM('TCO TO BE - HW'!G66:G75)</f>
        <v>0</v>
      </c>
      <c r="G8" s="461">
        <f>SUM('TCO TO BE - HW'!H5:H14)+SUM('TCO TO BE - HW'!H66:H75)</f>
        <v>0</v>
      </c>
      <c r="H8" s="461">
        <f>SUM('TCO TO BE - HW'!I5:I14)+SUM('TCO TO BE - HW'!I66:I75)</f>
        <v>0</v>
      </c>
      <c r="I8" s="461">
        <f>SUM('TCO TO BE - HW'!J5:J14)+SUM('TCO TO BE - HW'!J66:J75)</f>
        <v>0</v>
      </c>
      <c r="J8" s="461">
        <f>SUM('TCO TO BE - HW'!K5:K14)+SUM('TCO TO BE - HW'!K66:K75)</f>
        <v>0</v>
      </c>
      <c r="K8" s="461">
        <f>SUM('TCO TO BE - HW'!L5:L14)+SUM('TCO TO BE - HW'!L66:L75)</f>
        <v>0</v>
      </c>
      <c r="L8" s="461">
        <f>SUM('TCO TO BE - HW'!M5:M14)+SUM('TCO TO BE - HW'!M66:M75)</f>
        <v>0</v>
      </c>
      <c r="M8" s="461">
        <f>SUM('TCO TO BE - HW'!N5:N14)+SUM('TCO TO BE - HW'!N66:N75)</f>
        <v>0</v>
      </c>
      <c r="N8" s="461">
        <f>SUM('TCO TO BE - HW'!O5:O14)+SUM('TCO TO BE - HW'!O66:O75)</f>
        <v>0</v>
      </c>
      <c r="O8" s="461">
        <f>SUM('TCO TO BE - HW'!P5:P14)+SUM('TCO TO BE - HW'!P66:P75)</f>
        <v>0</v>
      </c>
      <c r="P8" s="461">
        <f>SUM('TCO TO BE - HW'!Q5:Q14)+SUM('TCO TO BE - HW'!Q66:Q75)</f>
        <v>0</v>
      </c>
      <c r="Q8" s="461">
        <f>SUM('TCO TO BE - HW'!R5:R14)+SUM('TCO TO BE - HW'!R66:R75)</f>
        <v>0</v>
      </c>
      <c r="R8" s="461">
        <f>SUM('TCO TO BE - HW'!S5:S14)+SUM('TCO TO BE - HW'!S66:S75)</f>
        <v>0</v>
      </c>
      <c r="S8" s="461">
        <f>SUM('TCO TO BE - HW'!T5:T14)+SUM('TCO TO BE - HW'!T66:T75)</f>
        <v>0</v>
      </c>
      <c r="T8" s="461">
        <f>SUM('TCO TO BE - HW'!U5:U14)+SUM('TCO TO BE - HW'!U66:U75)</f>
        <v>0</v>
      </c>
      <c r="U8" s="461">
        <f>SUM('TCO TO BE - HW'!V5:V14)+SUM('TCO TO BE - HW'!V66:V75)</f>
        <v>0</v>
      </c>
      <c r="V8" s="461">
        <f>SUM('TCO TO BE - HW'!W5:W14)+SUM('TCO TO BE - HW'!W66:W75)</f>
        <v>0</v>
      </c>
      <c r="W8" s="461">
        <f>SUM('TCO TO BE - HW'!X5:X14)+SUM('TCO TO BE - HW'!X66:X75)</f>
        <v>0</v>
      </c>
      <c r="X8" s="461">
        <f>SUM('TCO TO BE - HW'!Y5:Y14)+SUM('TCO TO BE - HW'!Y66:Y75)</f>
        <v>0</v>
      </c>
      <c r="Y8" s="461">
        <f>SUM('TCO TO BE - HW'!Z5:Z14)+SUM('TCO TO BE - HW'!Z66:Z75)</f>
        <v>0</v>
      </c>
      <c r="AC8" s="449"/>
      <c r="AD8" s="449"/>
      <c r="AE8" s="450" t="s">
        <v>66</v>
      </c>
      <c r="AF8" s="461">
        <f>SUM(AG8:AZ8)</f>
        <v>0</v>
      </c>
      <c r="AG8" s="461">
        <f>('TCO TO BE - HW'!F5+NPV(Faktory!$D$5,'TCO TO BE - HW'!F6:F14)+'TCO TO BE - HW'!F66+NPV(Faktory!$D$5,'TCO TO BE - HW'!F67:F75))</f>
        <v>0</v>
      </c>
      <c r="AH8" s="461">
        <f>('TCO TO BE - HW'!G5+NPV(Faktory!$D$5,'TCO TO BE - HW'!G6:G14)+'TCO TO BE - HW'!G66+NPV(Faktory!$D$5,'TCO TO BE - HW'!G67:G75))</f>
        <v>0</v>
      </c>
      <c r="AI8" s="461">
        <f>('TCO TO BE - HW'!H5+NPV(Faktory!$D$5,'TCO TO BE - HW'!H6:H14)+'TCO TO BE - HW'!H66+NPV(Faktory!$D$5,'TCO TO BE - HW'!H67:H75))</f>
        <v>0</v>
      </c>
      <c r="AJ8" s="461">
        <f>('TCO TO BE - HW'!I5+NPV(Faktory!$D$5,'TCO TO BE - HW'!I6:I14)+'TCO TO BE - HW'!I66+NPV(Faktory!$D$5,'TCO TO BE - HW'!I67:I75))</f>
        <v>0</v>
      </c>
      <c r="AK8" s="461">
        <f>('TCO TO BE - HW'!J5+NPV(Faktory!$D$5,'TCO TO BE - HW'!J6:J14)+'TCO TO BE - HW'!J66+NPV(Faktory!$D$5,'TCO TO BE - HW'!J67:J75))</f>
        <v>0</v>
      </c>
      <c r="AL8" s="461">
        <f>('TCO TO BE - HW'!K5+NPV(Faktory!$D$5,'TCO TO BE - HW'!K6:K14)+'TCO TO BE - HW'!K66+NPV(Faktory!$D$5,'TCO TO BE - HW'!K67:K75))</f>
        <v>0</v>
      </c>
      <c r="AM8" s="461">
        <f>('TCO TO BE - HW'!L5+NPV(Faktory!$D$5,'TCO TO BE - HW'!L6:L14)+'TCO TO BE - HW'!L66+NPV(Faktory!$D$5,'TCO TO BE - HW'!L67:L75))</f>
        <v>0</v>
      </c>
      <c r="AN8" s="461">
        <f>('TCO TO BE - HW'!M5+NPV(Faktory!$D$5,'TCO TO BE - HW'!M6:M14)+'TCO TO BE - HW'!M66+NPV(Faktory!$D$5,'TCO TO BE - HW'!M67:M75))</f>
        <v>0</v>
      </c>
      <c r="AO8" s="461">
        <f>('TCO TO BE - HW'!N5+NPV(Faktory!$D$5,'TCO TO BE - HW'!N6:N14)+'TCO TO BE - HW'!N66+NPV(Faktory!$D$5,'TCO TO BE - HW'!N67:N75))</f>
        <v>0</v>
      </c>
      <c r="AP8" s="461">
        <f>('TCO TO BE - HW'!O5+NPV(Faktory!$D$5,'TCO TO BE - HW'!O6:O14)+'TCO TO BE - HW'!O66+NPV(Faktory!$D$5,'TCO TO BE - HW'!O67:O75))</f>
        <v>0</v>
      </c>
      <c r="AQ8" s="461">
        <f>('TCO TO BE - HW'!P5+NPV(Faktory!$D$5,'TCO TO BE - HW'!P6:P14)+'TCO TO BE - HW'!P66+NPV(Faktory!$D$5,'TCO TO BE - HW'!P67:P75))</f>
        <v>0</v>
      </c>
      <c r="AR8" s="461">
        <f>('TCO TO BE - HW'!Q5+NPV(Faktory!$D$5,'TCO TO BE - HW'!Q6:Q14)+'TCO TO BE - HW'!Q66+NPV(Faktory!$D$5,'TCO TO BE - HW'!Q67:Q75))</f>
        <v>0</v>
      </c>
      <c r="AS8" s="461">
        <f>('TCO TO BE - HW'!R5+NPV(Faktory!$D$5,'TCO TO BE - HW'!R6:R14)+'TCO TO BE - HW'!R66+NPV(Faktory!$D$5,'TCO TO BE - HW'!R67:R75))</f>
        <v>0</v>
      </c>
      <c r="AT8" s="461">
        <f>('TCO TO BE - HW'!S5+NPV(Faktory!$D$5,'TCO TO BE - HW'!S6:S14)+'TCO TO BE - HW'!S66+NPV(Faktory!$D$5,'TCO TO BE - HW'!S67:S75))</f>
        <v>0</v>
      </c>
      <c r="AU8" s="461">
        <f>('TCO TO BE - HW'!T5+NPV(Faktory!$D$5,'TCO TO BE - HW'!T6:T14)+'TCO TO BE - HW'!T66+NPV(Faktory!$D$5,'TCO TO BE - HW'!T67:T75))</f>
        <v>0</v>
      </c>
      <c r="AV8" s="461">
        <f>('TCO TO BE - HW'!U5+NPV(Faktory!$D$5,'TCO TO BE - HW'!U6:U14)+'TCO TO BE - HW'!U66+NPV(Faktory!$D$5,'TCO TO BE - HW'!U67:U75))</f>
        <v>0</v>
      </c>
      <c r="AW8" s="461">
        <f>('TCO TO BE - HW'!V5+NPV(Faktory!$D$5,'TCO TO BE - HW'!V6:V14)+'TCO TO BE - HW'!V66+NPV(Faktory!$D$5,'TCO TO BE - HW'!V67:V75))</f>
        <v>0</v>
      </c>
      <c r="AX8" s="461">
        <f>('TCO TO BE - HW'!W5+NPV(Faktory!$D$5,'TCO TO BE - HW'!W6:W14)+'TCO TO BE - HW'!W66+NPV(Faktory!$D$5,'TCO TO BE - HW'!W67:W75))</f>
        <v>0</v>
      </c>
      <c r="AY8" s="461">
        <f>('TCO TO BE - HW'!X5+NPV(Faktory!$D$5,'TCO TO BE - HW'!X6:X14)+'TCO TO BE - HW'!X66+NPV(Faktory!$D$5,'TCO TO BE - HW'!X67:X75))</f>
        <v>0</v>
      </c>
      <c r="AZ8" s="461">
        <f>('TCO TO BE - HW'!Y5+NPV(Faktory!$D$5,'TCO TO BE - HW'!Y6:Y14)+'TCO TO BE - HW'!Y66+NPV(Faktory!$D$5,'TCO TO BE - HW'!Y67:Y75))</f>
        <v>0</v>
      </c>
      <c r="BA8" s="461">
        <f>('TCO TO BE - HW'!Z5+NPV(Faktory!$D$5,'TCO TO BE - HW'!Z6:Z14)+'TCO TO BE - HW'!Z66+NPV(Faktory!$D$5,'TCO TO BE - HW'!Z67:Z75))</f>
        <v>0</v>
      </c>
    </row>
    <row r="9" spans="1:53">
      <c r="A9" s="446"/>
      <c r="B9" s="447" t="s">
        <v>166</v>
      </c>
      <c r="C9" s="447"/>
      <c r="D9" s="448">
        <f>SUM(E9:Y9)</f>
        <v>5943526.7360833259</v>
      </c>
      <c r="E9" s="448">
        <f>SUM(E10:E12)</f>
        <v>3273093.7266780967</v>
      </c>
      <c r="F9" s="448">
        <f>SUM(F10:F12)</f>
        <v>98932.614815259323</v>
      </c>
      <c r="G9" s="448">
        <f>SUM(G10:G12)</f>
        <v>136001.03758148308</v>
      </c>
      <c r="H9" s="448">
        <f>SUM(H10:H12)</f>
        <v>175824.54582357479</v>
      </c>
      <c r="I9" s="448">
        <f>SUM(I10:I12)</f>
        <v>46335.528457779685</v>
      </c>
      <c r="J9" s="448">
        <f>SUM(J10+J11)</f>
        <v>101687.70029112732</v>
      </c>
      <c r="K9" s="448">
        <f>SUM(K10:K12)</f>
        <v>212892.96858979849</v>
      </c>
      <c r="L9" s="448">
        <f>SUM(L10:L12)</f>
        <v>249710.92904003427</v>
      </c>
      <c r="M9" s="448">
        <f>SUM(M10:M12)</f>
        <v>110954.80598268325</v>
      </c>
      <c r="N9" s="448">
        <f>SUM(N10+N11)</f>
        <v>166557.44013201891</v>
      </c>
      <c r="O9" s="448">
        <f>SUM(O10:O12)</f>
        <v>129489.01736579508</v>
      </c>
      <c r="P9" s="448">
        <f>SUM(P10:P12)</f>
        <v>92420.594599571385</v>
      </c>
      <c r="Q9" s="448">
        <f>SUM(Q10:Q12)</f>
        <v>112582.78398671241</v>
      </c>
      <c r="R9" s="448">
        <f>SUM(R10+R11)</f>
        <v>169026.72717788251</v>
      </c>
      <c r="S9" s="448">
        <f>SUM(S10:S12)</f>
        <v>191604.30445435061</v>
      </c>
      <c r="T9" s="448">
        <f>SUM(T10:T12)</f>
        <v>180315.51581611656</v>
      </c>
      <c r="U9" s="448">
        <f>SUM(U10:U12)</f>
        <v>90310.309105872264</v>
      </c>
      <c r="V9" s="448">
        <f>SUM(V10+V11)</f>
        <v>157737.93853964849</v>
      </c>
      <c r="W9" s="448">
        <f>SUM(W10:W12)</f>
        <v>180315.51581611656</v>
      </c>
      <c r="X9" s="448">
        <f>SUM(X10:X12)</f>
        <v>67732.731829404191</v>
      </c>
      <c r="Y9" s="448">
        <f>SUM(Y10:Y12)</f>
        <v>0</v>
      </c>
      <c r="AC9" s="446"/>
      <c r="AD9" s="447" t="s">
        <v>166</v>
      </c>
      <c r="AE9" s="447"/>
      <c r="AF9" s="448">
        <f>SUM(AG9:BA9)</f>
        <v>4681347.966807574</v>
      </c>
      <c r="AG9" s="448">
        <f t="shared" ref="AG9:BA9" si="2">SUM(AG10:AG12)</f>
        <v>2531840.8462410797</v>
      </c>
      <c r="AH9" s="448">
        <f t="shared" si="2"/>
        <v>79027.208823411056</v>
      </c>
      <c r="AI9" s="448">
        <f t="shared" si="2"/>
        <v>108637.40352180303</v>
      </c>
      <c r="AJ9" s="448">
        <f t="shared" si="2"/>
        <v>140448.35593426472</v>
      </c>
      <c r="AK9" s="448">
        <f t="shared" si="2"/>
        <v>36731.701967074856</v>
      </c>
      <c r="AL9" s="448">
        <f t="shared" si="2"/>
        <v>80611.194587202132</v>
      </c>
      <c r="AM9" s="448">
        <f t="shared" si="2"/>
        <v>168767.27930818178</v>
      </c>
      <c r="AN9" s="448">
        <f t="shared" si="2"/>
        <v>197954.09114147909</v>
      </c>
      <c r="AO9" s="448">
        <f t="shared" si="2"/>
        <v>87957.5349806171</v>
      </c>
      <c r="AP9" s="448">
        <f t="shared" si="2"/>
        <v>131073.45360914525</v>
      </c>
      <c r="AQ9" s="448">
        <f t="shared" si="2"/>
        <v>101902.21882094449</v>
      </c>
      <c r="AR9" s="448">
        <f t="shared" si="2"/>
        <v>72730.984032743756</v>
      </c>
      <c r="AS9" s="448">
        <f t="shared" si="2"/>
        <v>92413.121291619522</v>
      </c>
      <c r="AT9" s="448">
        <f t="shared" si="2"/>
        <v>138744.90296898969</v>
      </c>
      <c r="AU9" s="448">
        <f t="shared" si="2"/>
        <v>157277.61563993781</v>
      </c>
      <c r="AV9" s="448">
        <f t="shared" si="2"/>
        <v>148011.25930446375</v>
      </c>
      <c r="AW9" s="448">
        <f t="shared" si="2"/>
        <v>74130.850683792349</v>
      </c>
      <c r="AX9" s="448">
        <f t="shared" si="2"/>
        <v>129478.54663351567</v>
      </c>
      <c r="AY9" s="448">
        <f t="shared" si="2"/>
        <v>148011.25930446375</v>
      </c>
      <c r="AZ9" s="448">
        <f t="shared" si="2"/>
        <v>55598.138012844254</v>
      </c>
      <c r="BA9" s="448">
        <f t="shared" si="2"/>
        <v>0</v>
      </c>
    </row>
    <row r="10" spans="1:53">
      <c r="A10" s="449"/>
      <c r="B10" s="449"/>
      <c r="C10" s="450" t="s">
        <v>106</v>
      </c>
      <c r="D10" s="465">
        <f>SUM(E10:Y10)</f>
        <v>3127526.7360833264</v>
      </c>
      <c r="E10" s="461">
        <f>SUM('TCO TO BE- SW'!F47:F76)+SUM('TCO TO BE- SW'!F100:F119)+SUM('TCO TO BE- SW'!E130:E149)</f>
        <v>457093.72667809686</v>
      </c>
      <c r="F10" s="461">
        <f>SUM('TCO TO BE- SW'!G47:G76)+SUM('TCO TO BE- SW'!G100:G119)+SUM('TCO TO BE- SW'!F130:F149)</f>
        <v>98932.614815259323</v>
      </c>
      <c r="G10" s="461">
        <f>SUM('TCO TO BE- SW'!H47:H76)+SUM('TCO TO BE- SW'!H100:H119)+SUM('TCO TO BE- SW'!G130:G149)</f>
        <v>136001.03758148308</v>
      </c>
      <c r="H10" s="461">
        <f>SUM('TCO TO BE- SW'!I47:I76)+SUM('TCO TO BE- SW'!I100:I119)+SUM('TCO TO BE- SW'!H130:H149)</f>
        <v>175824.54582357479</v>
      </c>
      <c r="I10" s="461">
        <f>SUM('TCO TO BE- SW'!J47:J76)+SUM('TCO TO BE- SW'!J100:J119)+SUM('TCO TO BE- SW'!I130:I149)</f>
        <v>46335.528457779685</v>
      </c>
      <c r="J10" s="461">
        <f>SUM('TCO TO BE- SW'!K47:K76)+SUM('TCO TO BE- SW'!K100:K119)+SUM('TCO TO BE- SW'!J130:J149)</f>
        <v>101687.70029112732</v>
      </c>
      <c r="K10" s="461">
        <f>SUM('TCO TO BE- SW'!L47:L76)+SUM('TCO TO BE- SW'!L100:L119)+SUM('TCO TO BE- SW'!K130:K149)</f>
        <v>212892.96858979849</v>
      </c>
      <c r="L10" s="461">
        <f>SUM('TCO TO BE- SW'!M47:M76)+SUM('TCO TO BE- SW'!M100:M119)+SUM('TCO TO BE- SW'!L130:L149)</f>
        <v>249710.92904003427</v>
      </c>
      <c r="M10" s="461">
        <f>SUM('TCO TO BE- SW'!N47:N76)+SUM('TCO TO BE- SW'!N100:N119)+SUM('TCO TO BE- SW'!M130:M149)</f>
        <v>110954.80598268325</v>
      </c>
      <c r="N10" s="461">
        <f>SUM('TCO TO BE- SW'!O47:O76)+SUM('TCO TO BE- SW'!O100:O119)+SUM('TCO TO BE- SW'!N130:N149)</f>
        <v>166557.44013201891</v>
      </c>
      <c r="O10" s="461">
        <f>SUM('TCO TO BE- SW'!P47:P76)+SUM('TCO TO BE- SW'!P100:P119)+SUM('TCO TO BE- SW'!O130:O149)</f>
        <v>129489.01736579508</v>
      </c>
      <c r="P10" s="461">
        <f>SUM('TCO TO BE- SW'!Q47:Q76)+SUM('TCO TO BE- SW'!Q100:Q119)+SUM('TCO TO BE- SW'!P130:P149)</f>
        <v>92420.594599571385</v>
      </c>
      <c r="Q10" s="461">
        <f>SUM('TCO TO BE- SW'!R47:R76)+SUM('TCO TO BE- SW'!R100:R119)+SUM('TCO TO BE- SW'!Q130:Q149)</f>
        <v>112582.78398671241</v>
      </c>
      <c r="R10" s="461">
        <f>SUM('TCO TO BE- SW'!S47:S76)+SUM('TCO TO BE- SW'!S100:S119)+SUM('TCO TO BE- SW'!R130:R149)</f>
        <v>169026.72717788251</v>
      </c>
      <c r="S10" s="461">
        <f>SUM('TCO TO BE- SW'!T47:T76)+SUM('TCO TO BE- SW'!T100:T119)+SUM('TCO TO BE- SW'!S130:S149)</f>
        <v>191604.30445435061</v>
      </c>
      <c r="T10" s="461">
        <f>SUM('TCO TO BE- SW'!U47:U76)+SUM('TCO TO BE- SW'!U100:U119)+SUM('TCO TO BE- SW'!T130:T149)</f>
        <v>180315.51581611656</v>
      </c>
      <c r="U10" s="461">
        <f>SUM('TCO TO BE- SW'!V47:V76)+SUM('TCO TO BE- SW'!V100:V119)+SUM('TCO TO BE- SW'!U130:U149)</f>
        <v>90310.309105872264</v>
      </c>
      <c r="V10" s="461">
        <f>SUM('TCO TO BE- SW'!W47:W76)+SUM('TCO TO BE- SW'!W100:W119)+SUM('TCO TO BE- SW'!V130:V149)</f>
        <v>157737.93853964849</v>
      </c>
      <c r="W10" s="461">
        <f>SUM('TCO TO BE- SW'!X47:X76)+SUM('TCO TO BE- SW'!X100:X119)+SUM('TCO TO BE- SW'!W130:W149)</f>
        <v>180315.51581611656</v>
      </c>
      <c r="X10" s="461">
        <f>SUM('TCO TO BE- SW'!Y47:Y76)+SUM('TCO TO BE- SW'!Y100:Y119)+SUM('TCO TO BE- SW'!X130:X149)</f>
        <v>67732.731829404191</v>
      </c>
      <c r="Y10" s="461">
        <f>SUM('TCO TO BE- SW'!Z47:Z76)+SUM('TCO TO BE- SW'!Z100:Z119)+SUM('TCO TO BE- SW'!Y130:Y149)</f>
        <v>0</v>
      </c>
      <c r="AC10" s="449"/>
      <c r="AD10" s="449"/>
      <c r="AE10" s="450" t="s">
        <v>106</v>
      </c>
      <c r="AF10" s="462">
        <f>SUM(AG10:BA10)</f>
        <v>2514632.8322189627</v>
      </c>
      <c r="AG10" s="461">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365125.71165246877</v>
      </c>
      <c r="AH10" s="461">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79027.208823411056</v>
      </c>
      <c r="AI10" s="461">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108637.40352180303</v>
      </c>
      <c r="AJ10" s="461">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140448.35593426472</v>
      </c>
      <c r="AK10" s="461">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36731.701967074856</v>
      </c>
      <c r="AL10" s="461">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80611.194587202132</v>
      </c>
      <c r="AM10" s="461">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168767.27930818178</v>
      </c>
      <c r="AN10" s="461">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197954.09114147909</v>
      </c>
      <c r="AO10" s="461">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87957.5349806171</v>
      </c>
      <c r="AP10" s="461">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131073.45360914525</v>
      </c>
      <c r="AQ10" s="461">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101902.21882094449</v>
      </c>
      <c r="AR10" s="461">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72730.984032743756</v>
      </c>
      <c r="AS10" s="461">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92413.121291619522</v>
      </c>
      <c r="AT10" s="461">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138744.90296898969</v>
      </c>
      <c r="AU10" s="461">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157277.61563993781</v>
      </c>
      <c r="AV10" s="461">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148011.25930446375</v>
      </c>
      <c r="AW10" s="461">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74130.850683792349</v>
      </c>
      <c r="AX10" s="461">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129478.54663351567</v>
      </c>
      <c r="AY10" s="461">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148011.25930446375</v>
      </c>
      <c r="AZ10" s="461">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55598.138012844254</v>
      </c>
      <c r="BA10" s="461">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c r="A11" s="449"/>
      <c r="B11" s="449"/>
      <c r="C11" s="450" t="s">
        <v>67</v>
      </c>
      <c r="D11" s="466">
        <f>SUM(E11:Y11)</f>
        <v>2816000</v>
      </c>
      <c r="E11" s="461">
        <f>SUM('TCO TO BE- SW'!F16:F35)+SUM('TCO TO BE- SW'!F79:F88)</f>
        <v>2816000</v>
      </c>
      <c r="F11" s="461">
        <f>SUM('TCO TO BE- SW'!G16:G35)+SUM('TCO TO BE- SW'!G79:G88)</f>
        <v>0</v>
      </c>
      <c r="G11" s="461">
        <f>SUM('TCO TO BE- SW'!H16:H35)+SUM('TCO TO BE- SW'!H79:H88)</f>
        <v>0</v>
      </c>
      <c r="H11" s="461">
        <f>SUM('TCO TO BE- SW'!I16:I35)+SUM('TCO TO BE- SW'!I79:I88)</f>
        <v>0</v>
      </c>
      <c r="I11" s="461">
        <f>SUM('TCO TO BE- SW'!J16:J35)+SUM('TCO TO BE- SW'!J79:J88)</f>
        <v>0</v>
      </c>
      <c r="J11" s="461">
        <f>SUM('TCO TO BE- SW'!K16:K35)+SUM('TCO TO BE- SW'!K79:K88)</f>
        <v>0</v>
      </c>
      <c r="K11" s="461">
        <f>SUM('TCO TO BE- SW'!L16:L35)+SUM('TCO TO BE- SW'!L79:L88)</f>
        <v>0</v>
      </c>
      <c r="L11" s="461">
        <f>SUM('TCO TO BE- SW'!M16:M35)+SUM('TCO TO BE- SW'!M79:M88)</f>
        <v>0</v>
      </c>
      <c r="M11" s="461">
        <f>SUM('TCO TO BE- SW'!N16:N35)+SUM('TCO TO BE- SW'!N79:N88)</f>
        <v>0</v>
      </c>
      <c r="N11" s="461">
        <f>SUM('TCO TO BE- SW'!O16:O35)+SUM('TCO TO BE- SW'!O79:O88)</f>
        <v>0</v>
      </c>
      <c r="O11" s="461">
        <f>SUM('TCO TO BE- SW'!P16:P35)+SUM('TCO TO BE- SW'!P79:P88)</f>
        <v>0</v>
      </c>
      <c r="P11" s="461">
        <f>SUM('TCO TO BE- SW'!Q16:Q35)+SUM('TCO TO BE- SW'!Q79:Q88)</f>
        <v>0</v>
      </c>
      <c r="Q11" s="461">
        <f>SUM('TCO TO BE- SW'!R16:R35)+SUM('TCO TO BE- SW'!R79:R88)</f>
        <v>0</v>
      </c>
      <c r="R11" s="461">
        <f>SUM('TCO TO BE- SW'!S16:S35)+SUM('TCO TO BE- SW'!S79:S88)</f>
        <v>0</v>
      </c>
      <c r="S11" s="461">
        <f>SUM('TCO TO BE- SW'!T16:T35)+SUM('TCO TO BE- SW'!T79:T88)</f>
        <v>0</v>
      </c>
      <c r="T11" s="461">
        <f>SUM('TCO TO BE- SW'!U16:U35)+SUM('TCO TO BE- SW'!U79:U88)</f>
        <v>0</v>
      </c>
      <c r="U11" s="461">
        <f>SUM('TCO TO BE- SW'!V16:V35)+SUM('TCO TO BE- SW'!V79:V88)</f>
        <v>0</v>
      </c>
      <c r="V11" s="461">
        <f>SUM('TCO TO BE- SW'!W16:W35)+SUM('TCO TO BE- SW'!W79:W88)</f>
        <v>0</v>
      </c>
      <c r="W11" s="461">
        <f>SUM('TCO TO BE- SW'!X16:X35)+SUM('TCO TO BE- SW'!X79:X88)</f>
        <v>0</v>
      </c>
      <c r="X11" s="461">
        <f>SUM('TCO TO BE- SW'!Y16:Y35)+SUM('TCO TO BE- SW'!Y79:Y88)</f>
        <v>0</v>
      </c>
      <c r="Y11" s="461">
        <f>SUM('TCO TO BE- SW'!Z16:Z35)+SUM('TCO TO BE- SW'!Z79:Z88)</f>
        <v>0</v>
      </c>
      <c r="AC11" s="449"/>
      <c r="AD11" s="449"/>
      <c r="AE11" s="450" t="s">
        <v>67</v>
      </c>
      <c r="AF11" s="461">
        <f>SUM(AG11:BA11)</f>
        <v>2166715.1345886108</v>
      </c>
      <c r="AG11" s="461">
        <f>('TCO TO BE- SW'!F16+NPV(Faktory!$D$5,'TCO TO BE- SW'!F17:F25)+'TCO TO BE- SW'!F26+NPV(Faktory!$D$5,'TCO TO BE- SW'!F27:F35)+'TCO TO BE- SW'!F79+NPV(Faktory!$D$5,'TCO TO BE- SW'!F80:F88))</f>
        <v>2166715.1345886108</v>
      </c>
      <c r="AH11" s="461">
        <f>('TCO TO BE- SW'!G16+NPV(Faktory!$D$5,'TCO TO BE- SW'!G17:G25)+'TCO TO BE- SW'!G26+NPV(Faktory!$D$5,'TCO TO BE- SW'!G27:G35)+'TCO TO BE- SW'!G79+NPV(Faktory!$D$5,'TCO TO BE- SW'!G80:G88))</f>
        <v>0</v>
      </c>
      <c r="AI11" s="461">
        <f>('TCO TO BE- SW'!H16+NPV(Faktory!$D$5,'TCO TO BE- SW'!H17:H25)+'TCO TO BE- SW'!H26+NPV(Faktory!$D$5,'TCO TO BE- SW'!H27:H35)+'TCO TO BE- SW'!H79+NPV(Faktory!$D$5,'TCO TO BE- SW'!H80:H88))</f>
        <v>0</v>
      </c>
      <c r="AJ11" s="461">
        <f>('TCO TO BE- SW'!I16+NPV(Faktory!$D$5,'TCO TO BE- SW'!I17:I25)+'TCO TO BE- SW'!I26+NPV(Faktory!$D$5,'TCO TO BE- SW'!I27:I35)+'TCO TO BE- SW'!I79+NPV(Faktory!$D$5,'TCO TO BE- SW'!I80:I88))</f>
        <v>0</v>
      </c>
      <c r="AK11" s="461">
        <f>('TCO TO BE- SW'!J16+NPV(Faktory!$D$5,'TCO TO BE- SW'!J17:J25)+'TCO TO BE- SW'!J26+NPV(Faktory!$D$5,'TCO TO BE- SW'!J27:J35)+'TCO TO BE- SW'!J79+NPV(Faktory!$D$5,'TCO TO BE- SW'!J80:J88))</f>
        <v>0</v>
      </c>
      <c r="AL11" s="461">
        <f>('TCO TO BE- SW'!K16+NPV(Faktory!$D$5,'TCO TO BE- SW'!K17:K25)+'TCO TO BE- SW'!K26+NPV(Faktory!$D$5,'TCO TO BE- SW'!K27:K35)+'TCO TO BE- SW'!K79+NPV(Faktory!$D$5,'TCO TO BE- SW'!K80:K88))</f>
        <v>0</v>
      </c>
      <c r="AM11" s="461">
        <f>('TCO TO BE- SW'!L16+NPV(Faktory!$D$5,'TCO TO BE- SW'!L17:L25)+'TCO TO BE- SW'!L26+NPV(Faktory!$D$5,'TCO TO BE- SW'!L27:L35)+'TCO TO BE- SW'!L79+NPV(Faktory!$D$5,'TCO TO BE- SW'!L80:L88))</f>
        <v>0</v>
      </c>
      <c r="AN11" s="461">
        <f>('TCO TO BE- SW'!M16+NPV(Faktory!$D$5,'TCO TO BE- SW'!M17:M25)+'TCO TO BE- SW'!M26+NPV(Faktory!$D$5,'TCO TO BE- SW'!M27:M35)+'TCO TO BE- SW'!M79+NPV(Faktory!$D$5,'TCO TO BE- SW'!M80:M88))</f>
        <v>0</v>
      </c>
      <c r="AO11" s="461">
        <f>('TCO TO BE- SW'!N16+NPV(Faktory!$D$5,'TCO TO BE- SW'!N17:N25)+'TCO TO BE- SW'!N26+NPV(Faktory!$D$5,'TCO TO BE- SW'!N27:N35)+'TCO TO BE- SW'!N79+NPV(Faktory!$D$5,'TCO TO BE- SW'!N80:N88))</f>
        <v>0</v>
      </c>
      <c r="AP11" s="461">
        <f>('TCO TO BE- SW'!O16+NPV(Faktory!$D$5,'TCO TO BE- SW'!O17:O25)+'TCO TO BE- SW'!O26+NPV(Faktory!$D$5,'TCO TO BE- SW'!O27:O35)+'TCO TO BE- SW'!O79+NPV(Faktory!$D$5,'TCO TO BE- SW'!O80:O88))</f>
        <v>0</v>
      </c>
      <c r="AQ11" s="461">
        <f>('TCO TO BE- SW'!P16+NPV(Faktory!$D$5,'TCO TO BE- SW'!P17:P25)+'TCO TO BE- SW'!P26+NPV(Faktory!$D$5,'TCO TO BE- SW'!P27:P35)+'TCO TO BE- SW'!P79+NPV(Faktory!$D$5,'TCO TO BE- SW'!P80:P88))</f>
        <v>0</v>
      </c>
      <c r="AR11" s="461">
        <f>('TCO TO BE- SW'!Q16+NPV(Faktory!$D$5,'TCO TO BE- SW'!Q17:Q25)+'TCO TO BE- SW'!Q26+NPV(Faktory!$D$5,'TCO TO BE- SW'!Q27:Q35)+'TCO TO BE- SW'!Q79+NPV(Faktory!$D$5,'TCO TO BE- SW'!Q80:Q88))</f>
        <v>0</v>
      </c>
      <c r="AS11" s="461">
        <f>('TCO TO BE- SW'!R16+NPV(Faktory!$D$5,'TCO TO BE- SW'!R17:R25)+'TCO TO BE- SW'!R26+NPV(Faktory!$D$5,'TCO TO BE- SW'!R27:R35)+'TCO TO BE- SW'!R79+NPV(Faktory!$D$5,'TCO TO BE- SW'!R80:R88))</f>
        <v>0</v>
      </c>
      <c r="AT11" s="461">
        <f>('TCO TO BE- SW'!S16+NPV(Faktory!$D$5,'TCO TO BE- SW'!S17:S25)+'TCO TO BE- SW'!S26+NPV(Faktory!$D$5,'TCO TO BE- SW'!S27:S35)+'TCO TO BE- SW'!S79+NPV(Faktory!$D$5,'TCO TO BE- SW'!S80:S88))</f>
        <v>0</v>
      </c>
      <c r="AU11" s="461">
        <f>('TCO TO BE- SW'!T16+NPV(Faktory!$D$5,'TCO TO BE- SW'!T17:T25)+'TCO TO BE- SW'!T26+NPV(Faktory!$D$5,'TCO TO BE- SW'!T27:T35)+'TCO TO BE- SW'!T79+NPV(Faktory!$D$5,'TCO TO BE- SW'!T80:T88))</f>
        <v>0</v>
      </c>
      <c r="AV11" s="461">
        <f>('TCO TO BE- SW'!U16+NPV(Faktory!$D$5,'TCO TO BE- SW'!U17:U25)+'TCO TO BE- SW'!U26+NPV(Faktory!$D$5,'TCO TO BE- SW'!U27:U35)+'TCO TO BE- SW'!U79+NPV(Faktory!$D$5,'TCO TO BE- SW'!U80:U88))</f>
        <v>0</v>
      </c>
      <c r="AW11" s="461">
        <f>('TCO TO BE- SW'!V16+NPV(Faktory!$D$5,'TCO TO BE- SW'!V17:V25)+'TCO TO BE- SW'!V26+NPV(Faktory!$D$5,'TCO TO BE- SW'!V27:V35)+'TCO TO BE- SW'!V79+NPV(Faktory!$D$5,'TCO TO BE- SW'!V80:V88))</f>
        <v>0</v>
      </c>
      <c r="AX11" s="461">
        <f>('TCO TO BE- SW'!W16+NPV(Faktory!$D$5,'TCO TO BE- SW'!W17:W25)+'TCO TO BE- SW'!W26+NPV(Faktory!$D$5,'TCO TO BE- SW'!W27:W35)+'TCO TO BE- SW'!W79+NPV(Faktory!$D$5,'TCO TO BE- SW'!W80:W88))</f>
        <v>0</v>
      </c>
      <c r="AY11" s="461">
        <f>('TCO TO BE- SW'!X16+NPV(Faktory!$D$5,'TCO TO BE- SW'!X17:X25)+'TCO TO BE- SW'!X26+NPV(Faktory!$D$5,'TCO TO BE- SW'!X27:X35)+'TCO TO BE- SW'!X79+NPV(Faktory!$D$5,'TCO TO BE- SW'!X80:X88))</f>
        <v>0</v>
      </c>
      <c r="AZ11" s="461">
        <f>('TCO TO BE- SW'!Y16+NPV(Faktory!$D$5,'TCO TO BE- SW'!Y17:Y25)+'TCO TO BE- SW'!Y26+NPV(Faktory!$D$5,'TCO TO BE- SW'!Y27:Y35)+'TCO TO BE- SW'!Y79+NPV(Faktory!$D$5,'TCO TO BE- SW'!Y80:Y88))</f>
        <v>0</v>
      </c>
      <c r="BA11" s="461">
        <f>('TCO TO BE- SW'!Z16+NPV(Faktory!$D$5,'TCO TO BE- SW'!Z17:Z25)+'TCO TO BE- SW'!Z26+NPV(Faktory!$D$5,'TCO TO BE- SW'!Z27:Z35)+'TCO TO BE- SW'!Z79+NPV(Faktory!$D$5,'TCO TO BE- SW'!Z80:Z88))</f>
        <v>0</v>
      </c>
    </row>
    <row r="12" spans="1:53">
      <c r="A12" s="449"/>
      <c r="B12" s="449"/>
      <c r="C12" s="450" t="s">
        <v>66</v>
      </c>
      <c r="D12" s="466">
        <f>SUM(E12:X12)</f>
        <v>0</v>
      </c>
      <c r="E12" s="461">
        <f>SUM('TCO TO BE - HW'!F15:F54)+SUM('TCO TO BE - HW'!F56:F65)+SUM('TCO TO BE - HW'!F76:F105)</f>
        <v>0</v>
      </c>
      <c r="F12" s="461">
        <f>SUM('TCO TO BE - HW'!G15:G54)+SUM('TCO TO BE - HW'!G56:G65)+SUM('TCO TO BE - HW'!G76:G105)</f>
        <v>0</v>
      </c>
      <c r="G12" s="461">
        <f>SUM('TCO TO BE - HW'!H15:H54)+SUM('TCO TO BE - HW'!H56:H65)+SUM('TCO TO BE - HW'!H76:H105)</f>
        <v>0</v>
      </c>
      <c r="H12" s="461">
        <f>SUM('TCO TO BE - HW'!I15:I54)+SUM('TCO TO BE - HW'!I56:I65)+SUM('TCO TO BE - HW'!I76:I105)</f>
        <v>0</v>
      </c>
      <c r="I12" s="461">
        <f>SUM('TCO TO BE - HW'!J15:J54)+SUM('TCO TO BE - HW'!J56:J65)+SUM('TCO TO BE - HW'!J76:J105)</f>
        <v>0</v>
      </c>
      <c r="J12" s="461">
        <f>SUM('TCO TO BE - HW'!K15:K54)+SUM('TCO TO BE - HW'!K56:K65)+SUM('TCO TO BE - HW'!K76:K105)</f>
        <v>0</v>
      </c>
      <c r="K12" s="461">
        <f>SUM('TCO TO BE - HW'!L15:L54)+SUM('TCO TO BE - HW'!L56:L65)+SUM('TCO TO BE - HW'!L76:L105)</f>
        <v>0</v>
      </c>
      <c r="L12" s="461">
        <f>SUM('TCO TO BE - HW'!M15:M54)+SUM('TCO TO BE - HW'!M56:M65)+SUM('TCO TO BE - HW'!M76:M105)</f>
        <v>0</v>
      </c>
      <c r="M12" s="461">
        <f>SUM('TCO TO BE - HW'!N15:N54)+SUM('TCO TO BE - HW'!N56:N65)+SUM('TCO TO BE - HW'!N76:N105)</f>
        <v>0</v>
      </c>
      <c r="N12" s="461">
        <f>SUM('TCO TO BE - HW'!O15:O54)+SUM('TCO TO BE - HW'!O56:O65)+SUM('TCO TO BE - HW'!O76:O105)</f>
        <v>0</v>
      </c>
      <c r="O12" s="461">
        <f>SUM('TCO TO BE - HW'!P15:P54)+SUM('TCO TO BE - HW'!P56:P65)+SUM('TCO TO BE - HW'!P76:P105)</f>
        <v>0</v>
      </c>
      <c r="P12" s="461">
        <f>SUM('TCO TO BE - HW'!Q15:Q54)+SUM('TCO TO BE - HW'!Q56:Q65)+SUM('TCO TO BE - HW'!Q76:Q105)</f>
        <v>0</v>
      </c>
      <c r="Q12" s="461">
        <f>SUM('TCO TO BE - HW'!R15:R54)+SUM('TCO TO BE - HW'!R56:R65)+SUM('TCO TO BE - HW'!R76:R105)</f>
        <v>0</v>
      </c>
      <c r="R12" s="461">
        <f>SUM('TCO TO BE - HW'!S15:S54)+SUM('TCO TO BE - HW'!S56:S65)+SUM('TCO TO BE - HW'!S76:S105)</f>
        <v>0</v>
      </c>
      <c r="S12" s="461">
        <f>SUM('TCO TO BE - HW'!T15:T54)+SUM('TCO TO BE - HW'!T56:T65)+SUM('TCO TO BE - HW'!T76:T105)</f>
        <v>0</v>
      </c>
      <c r="T12" s="461">
        <f>SUM('TCO TO BE - HW'!U15:U54)+SUM('TCO TO BE - HW'!U56:U65)+SUM('TCO TO BE - HW'!U76:U105)</f>
        <v>0</v>
      </c>
      <c r="U12" s="461">
        <f>SUM('TCO TO BE - HW'!V15:V54)+SUM('TCO TO BE - HW'!V56:V65)+SUM('TCO TO BE - HW'!V76:V105)</f>
        <v>0</v>
      </c>
      <c r="V12" s="461">
        <f>SUM('TCO TO BE - HW'!W15:W54)+SUM('TCO TO BE - HW'!W56:W65)+SUM('TCO TO BE - HW'!W76:W105)</f>
        <v>0</v>
      </c>
      <c r="W12" s="461">
        <f>SUM('TCO TO BE - HW'!X15:X54)+SUM('TCO TO BE - HW'!X56:X65)+SUM('TCO TO BE - HW'!X76:X105)</f>
        <v>0</v>
      </c>
      <c r="X12" s="461">
        <f>SUM('TCO TO BE - HW'!Y15:Y54)+SUM('TCO TO BE - HW'!Y56:Y65)+SUM('TCO TO BE - HW'!Y76:Y105)</f>
        <v>0</v>
      </c>
      <c r="Y12" s="461">
        <f>SUM('TCO TO BE - HW'!Z15:Z54)+SUM('TCO TO BE - HW'!Z56:Z65)+SUM('TCO TO BE - HW'!Z76:Z105)</f>
        <v>0</v>
      </c>
      <c r="AC12" s="449"/>
      <c r="AD12" s="449"/>
      <c r="AE12" s="450" t="s">
        <v>66</v>
      </c>
      <c r="AF12" s="461">
        <f>SUM(AG12:AZ12)</f>
        <v>0</v>
      </c>
      <c r="AG12" s="461">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0</v>
      </c>
      <c r="AH12" s="461">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461">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461">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461">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461">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461">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461">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461">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461">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461">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461">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461">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461">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461">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461">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461">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461">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461">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461">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461">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c r="A13" s="449"/>
      <c r="B13" s="447" t="s">
        <v>234</v>
      </c>
      <c r="C13" s="447"/>
      <c r="D13" s="448">
        <f>SUM(E13:Y13)</f>
        <v>780213.14630000002</v>
      </c>
      <c r="E13" s="448">
        <f>'TCO TO BE- SW'!F150</f>
        <v>381878.18191148737</v>
      </c>
      <c r="F13" s="448">
        <f>'TCO TO BE- SW'!G150</f>
        <v>15990.072249335617</v>
      </c>
      <c r="G13" s="448">
        <f>'TCO TO BE- SW'!H150</f>
        <v>21981.289193390483</v>
      </c>
      <c r="H13" s="448">
        <f>'TCO TO BE- SW'!I150</f>
        <v>28417.799288692666</v>
      </c>
      <c r="I13" s="448">
        <f>'TCO TO BE- SW'!J150</f>
        <v>7489.021180068582</v>
      </c>
      <c r="J13" s="448">
        <f>'TCO TO BE- SW'!K150</f>
        <v>16435.365400582941</v>
      </c>
      <c r="K13" s="448">
        <f>'TCO TO BE- SW'!L150</f>
        <v>34409.016232747526</v>
      </c>
      <c r="L13" s="448">
        <f>'TCO TO BE- SW'!M150</f>
        <v>40359.751981234469</v>
      </c>
      <c r="M13" s="448">
        <f>'TCO TO BE- SW'!N150</f>
        <v>17933.169636596656</v>
      </c>
      <c r="N13" s="448">
        <f>'TCO TO BE- SW'!O150</f>
        <v>26919.995052678954</v>
      </c>
      <c r="O13" s="448">
        <f>'TCO TO BE- SW'!P150</f>
        <v>20928.778108624087</v>
      </c>
      <c r="P13" s="448">
        <f>'TCO TO BE- SW'!Q150</f>
        <v>14937.561164569226</v>
      </c>
      <c r="Q13" s="448">
        <f>'TCO TO BE- SW'!R150</f>
        <v>14937.561164569226</v>
      </c>
      <c r="R13" s="448">
        <f>'TCO TO BE- SW'!S150</f>
        <v>22426.582344637805</v>
      </c>
      <c r="S13" s="448">
        <f>'TCO TO BE- SW'!T150</f>
        <v>25422.190816665243</v>
      </c>
      <c r="T13" s="448">
        <f>'TCO TO BE- SW'!U150</f>
        <v>23924.386580651517</v>
      </c>
      <c r="U13" s="448">
        <f>'TCO TO BE- SW'!V150</f>
        <v>11982.43388810973</v>
      </c>
      <c r="V13" s="448">
        <f>'TCO TO BE- SW'!W150</f>
        <v>20928.778108624087</v>
      </c>
      <c r="W13" s="448">
        <f>'TCO TO BE- SW'!X150</f>
        <v>23924.386580651517</v>
      </c>
      <c r="X13" s="448">
        <f>'TCO TO BE- SW'!Y150</f>
        <v>8986.825416082298</v>
      </c>
      <c r="Y13" s="448">
        <f>'TCO TO BE- SW'!Z150</f>
        <v>0</v>
      </c>
      <c r="AC13" s="449"/>
      <c r="AD13" s="447" t="s">
        <v>234</v>
      </c>
      <c r="AE13" s="447"/>
      <c r="AF13" s="448">
        <f>SUM(AG13:BA13)</f>
        <v>775976.19391904783</v>
      </c>
      <c r="AG13" s="451">
        <f>'TCO TO BE- SW'!F151+NPV(Faktory!$D$5,'TCO TO BE- SW'!F152:F160)+'TCO TO BE- SW'!F161+NPV(Faktory!$D$5,'TCO TO BE- SW'!F162:F170)</f>
        <v>379804.3900512032</v>
      </c>
      <c r="AH13" s="451">
        <f>'TCO TO BE- SW'!G151+NPV(Faktory!$D$5,'TCO TO BE- SW'!G152:G160)+'TCO TO BE- SW'!G161+NPV(Faktory!$D$5,'TCO TO BE- SW'!G162:G170)</f>
        <v>15903.238061768145</v>
      </c>
      <c r="AI13" s="451">
        <f>'TCO TO BE- SW'!H151+NPV(Faktory!$D$5,'TCO TO BE- SW'!H152:H160)+'TCO TO BE- SW'!H161+NPV(Faktory!$D$5,'TCO TO BE- SW'!H162:H170)</f>
        <v>21861.919664658486</v>
      </c>
      <c r="AJ13" s="451">
        <f>'TCO TO BE- SW'!I151+NPV(Faktory!$D$5,'TCO TO BE- SW'!I152:I160)+'TCO TO BE- SW'!I161+NPV(Faktory!$D$5,'TCO TO BE- SW'!I162:I170)</f>
        <v>28263.476251547436</v>
      </c>
      <c r="AK13" s="451">
        <f>'TCO TO BE- SW'!J151+NPV(Faktory!$D$5,'TCO TO BE- SW'!J152:J160)+'TCO TO BE- SW'!J161+NPV(Faktory!$D$5,'TCO TO BE- SW'!J162:J170)</f>
        <v>7448.3520036129294</v>
      </c>
      <c r="AL13" s="451">
        <f>'TCO TO BE- SW'!K151+NPV(Faktory!$D$5,'TCO TO BE- SW'!K152:K160)+'TCO TO BE- SW'!K161+NPV(Faktory!$D$5,'TCO TO BE- SW'!K162:K170)</f>
        <v>16346.113045766753</v>
      </c>
      <c r="AM13" s="451">
        <f>'TCO TO BE- SW'!L151+NPV(Faktory!$D$5,'TCO TO BE- SW'!L152:L160)+'TCO TO BE- SW'!L161+NPV(Faktory!$D$5,'TCO TO BE- SW'!L162:L170)</f>
        <v>34222.157854437777</v>
      </c>
      <c r="AN13" s="451">
        <f>'TCO TO BE- SW'!M151+NPV(Faktory!$D$5,'TCO TO BE- SW'!M152:M160)+'TCO TO BE- SW'!M161+NPV(Faktory!$D$5,'TCO TO BE- SW'!M162:M170)</f>
        <v>40140.57809514644</v>
      </c>
      <c r="AO13" s="451">
        <f>'TCO TO BE- SW'!N151+NPV(Faktory!$D$5,'TCO TO BE- SW'!N152:N160)+'TCO TO BE- SW'!N161+NPV(Faktory!$D$5,'TCO TO BE- SW'!N162:N170)</f>
        <v>17835.783446489335</v>
      </c>
      <c r="AP13" s="451">
        <f>'TCO TO BE- SW'!O151+NPV(Faktory!$D$5,'TCO TO BE- SW'!O152:O160)+'TCO TO BE- SW'!O161+NPV(Faktory!$D$5,'TCO TO BE- SW'!O162:O170)</f>
        <v>26773.80585082485</v>
      </c>
      <c r="AQ13" s="451">
        <f>'TCO TO BE- SW'!P151+NPV(Faktory!$D$5,'TCO TO BE- SW'!P152:P160)+'TCO TO BE- SW'!P161+NPV(Faktory!$D$5,'TCO TO BE- SW'!P162:P170)</f>
        <v>20815.124247934506</v>
      </c>
      <c r="AR13" s="451">
        <f>'TCO TO BE- SW'!Q151+NPV(Faktory!$D$5,'TCO TO BE- SW'!Q152:Q160)+'TCO TO BE- SW'!Q161+NPV(Faktory!$D$5,'TCO TO BE- SW'!Q162:Q170)</f>
        <v>14856.442645044168</v>
      </c>
      <c r="AS13" s="451">
        <f>'TCO TO BE- SW'!R151+NPV(Faktory!$D$5,'TCO TO BE- SW'!R152:R160)+'TCO TO BE- SW'!R161+NPV(Faktory!$D$5,'TCO TO BE- SW'!R162:R170)</f>
        <v>14856.442645044168</v>
      </c>
      <c r="AT13" s="451">
        <f>'TCO TO BE- SW'!S151+NPV(Faktory!$D$5,'TCO TO BE- SW'!S152:S160)+'TCO TO BE- SW'!S161+NPV(Faktory!$D$5,'TCO TO BE- SW'!S162:S170)</f>
        <v>22304.794648657095</v>
      </c>
      <c r="AU13" s="451">
        <f>'TCO TO BE- SW'!T151+NPV(Faktory!$D$5,'TCO TO BE- SW'!T152:T160)+'TCO TO BE- SW'!T161+NPV(Faktory!$D$5,'TCO TO BE- SW'!T162:T170)</f>
        <v>25284.135450102272</v>
      </c>
      <c r="AV13" s="451">
        <f>'TCO TO BE- SW'!U151+NPV(Faktory!$D$5,'TCO TO BE- SW'!U152:U160)+'TCO TO BE- SW'!U161+NPV(Faktory!$D$5,'TCO TO BE- SW'!U162:U170)</f>
        <v>23794.46504937968</v>
      </c>
      <c r="AW13" s="451">
        <f>'TCO TO BE- SW'!V151+NPV(Faktory!$D$5,'TCO TO BE- SW'!V152:V160)+'TCO TO BE- SW'!V161+NPV(Faktory!$D$5,'TCO TO BE- SW'!V162:V170)</f>
        <v>11917.363205780686</v>
      </c>
      <c r="AX13" s="451">
        <f>'TCO TO BE- SW'!W151+NPV(Faktory!$D$5,'TCO TO BE- SW'!W152:W160)+'TCO TO BE- SW'!W161+NPV(Faktory!$D$5,'TCO TO BE- SW'!W162:W170)</f>
        <v>20815.124247934506</v>
      </c>
      <c r="AY13" s="451">
        <f>'TCO TO BE- SW'!X151+NPV(Faktory!$D$5,'TCO TO BE- SW'!X152:X160)+'TCO TO BE- SW'!X161+NPV(Faktory!$D$5,'TCO TO BE- SW'!X162:X170)</f>
        <v>23794.46504937968</v>
      </c>
      <c r="AZ13" s="451">
        <f>'TCO TO BE- SW'!Y151+NPV(Faktory!$D$5,'TCO TO BE- SW'!Y152:Y160)+'TCO TO BE- SW'!Y161+NPV(Faktory!$D$5,'TCO TO BE- SW'!Y162:Y170)</f>
        <v>8938.0224043355156</v>
      </c>
      <c r="BA13" s="451">
        <f>'TCO TO BE- SW'!Z151+NPV(Faktory!$D$5,'TCO TO BE- SW'!Z152:Z160)+'TCO TO BE- SW'!Z161+NPV(Faktory!$D$5,'TCO TO BE- SW'!Z162:Z170)</f>
        <v>0</v>
      </c>
    </row>
    <row r="14" spans="1:53">
      <c r="A14" s="449"/>
      <c r="B14" s="447" t="s">
        <v>247</v>
      </c>
      <c r="C14" s="447"/>
      <c r="D14" s="448">
        <f>SUM(E14:Y14)</f>
        <v>0</v>
      </c>
      <c r="E14" s="448">
        <f>'TCO TO BE- SW'!F171</f>
        <v>0</v>
      </c>
      <c r="F14" s="448">
        <f>'TCO TO BE- SW'!G171</f>
        <v>0</v>
      </c>
      <c r="G14" s="448">
        <f>'TCO TO BE- SW'!H171</f>
        <v>0</v>
      </c>
      <c r="H14" s="448">
        <f>'TCO TO BE- SW'!I171</f>
        <v>0</v>
      </c>
      <c r="I14" s="448">
        <f>'TCO TO BE- SW'!J171</f>
        <v>0</v>
      </c>
      <c r="J14" s="448">
        <f>'TCO TO BE- SW'!K171</f>
        <v>0</v>
      </c>
      <c r="K14" s="448">
        <f>'TCO TO BE- SW'!L171</f>
        <v>0</v>
      </c>
      <c r="L14" s="448">
        <f>'TCO TO BE- SW'!M171</f>
        <v>0</v>
      </c>
      <c r="M14" s="448">
        <f>'TCO TO BE- SW'!N171</f>
        <v>0</v>
      </c>
      <c r="N14" s="448">
        <f>'TCO TO BE- SW'!O171</f>
        <v>0</v>
      </c>
      <c r="O14" s="448">
        <f>'TCO TO BE- SW'!P171</f>
        <v>0</v>
      </c>
      <c r="P14" s="448">
        <f>'TCO TO BE- SW'!Q171</f>
        <v>0</v>
      </c>
      <c r="Q14" s="448">
        <f>'TCO TO BE- SW'!R171</f>
        <v>0</v>
      </c>
      <c r="R14" s="448">
        <f>'TCO TO BE- SW'!S171</f>
        <v>0</v>
      </c>
      <c r="S14" s="448">
        <f>'TCO TO BE- SW'!T171</f>
        <v>0</v>
      </c>
      <c r="T14" s="448">
        <f>'TCO TO BE- SW'!U171</f>
        <v>0</v>
      </c>
      <c r="U14" s="448">
        <f>'TCO TO BE- SW'!V171</f>
        <v>0</v>
      </c>
      <c r="V14" s="448">
        <f>'TCO TO BE- SW'!W171</f>
        <v>0</v>
      </c>
      <c r="W14" s="448">
        <f>'TCO TO BE- SW'!X171</f>
        <v>0</v>
      </c>
      <c r="X14" s="448">
        <f>'TCO TO BE- SW'!Y171</f>
        <v>0</v>
      </c>
      <c r="Y14" s="448">
        <f>'TCO TO BE- SW'!Z171</f>
        <v>0</v>
      </c>
      <c r="AC14" s="449"/>
      <c r="AD14" s="447" t="s">
        <v>247</v>
      </c>
      <c r="AE14" s="447"/>
      <c r="AF14" s="448">
        <f>SUM(AG14:BA14)</f>
        <v>0</v>
      </c>
      <c r="AG14" s="451">
        <f>'TCO TO BE- SW'!F172+NPV(Faktory!$D$5,'TCO TO BE- SW'!F173:F181)+'TCO TO BE- SW'!F182+NPV(Faktory!$D$5,'TCO TO BE- SW'!F183:F191)</f>
        <v>0</v>
      </c>
      <c r="AH14" s="451">
        <f>'TCO TO BE- SW'!G172+NPV(Faktory!$D$5,'TCO TO BE- SW'!G173:G181)+'TCO TO BE- SW'!G182+NPV(Faktory!$D$5,'TCO TO BE- SW'!G183:G191)</f>
        <v>0</v>
      </c>
      <c r="AI14" s="451">
        <f>'TCO TO BE- SW'!H172+NPV(Faktory!$D$5,'TCO TO BE- SW'!H173:H181)+'TCO TO BE- SW'!H182+NPV(Faktory!$D$5,'TCO TO BE- SW'!H183:H191)</f>
        <v>0</v>
      </c>
      <c r="AJ14" s="451">
        <f>'TCO TO BE- SW'!I172+NPV(Faktory!$D$5,'TCO TO BE- SW'!I173:I181)+'TCO TO BE- SW'!I182+NPV(Faktory!$D$5,'TCO TO BE- SW'!I183:I191)</f>
        <v>0</v>
      </c>
      <c r="AK14" s="451">
        <f>'TCO TO BE- SW'!J172+NPV(Faktory!$D$5,'TCO TO BE- SW'!J173:J181)+'TCO TO BE- SW'!J182+NPV(Faktory!$D$5,'TCO TO BE- SW'!J183:J191)</f>
        <v>0</v>
      </c>
      <c r="AL14" s="451">
        <f>'TCO TO BE- SW'!K172+NPV(Faktory!$D$5,'TCO TO BE- SW'!K173:K181)+'TCO TO BE- SW'!K182+NPV(Faktory!$D$5,'TCO TO BE- SW'!K183:K191)</f>
        <v>0</v>
      </c>
      <c r="AM14" s="451">
        <f>'TCO TO BE- SW'!L172+NPV(Faktory!$D$5,'TCO TO BE- SW'!L173:L181)+'TCO TO BE- SW'!L182+NPV(Faktory!$D$5,'TCO TO BE- SW'!L183:L191)</f>
        <v>0</v>
      </c>
      <c r="AN14" s="451">
        <f>'TCO TO BE- SW'!M172+NPV(Faktory!$D$5,'TCO TO BE- SW'!M173:M181)+'TCO TO BE- SW'!M182+NPV(Faktory!$D$5,'TCO TO BE- SW'!M183:M191)</f>
        <v>0</v>
      </c>
      <c r="AO14" s="451">
        <f>'TCO TO BE- SW'!N172+NPV(Faktory!$D$5,'TCO TO BE- SW'!N173:N181)+'TCO TO BE- SW'!N182+NPV(Faktory!$D$5,'TCO TO BE- SW'!N183:N191)</f>
        <v>0</v>
      </c>
      <c r="AP14" s="451">
        <f>'TCO TO BE- SW'!O172+NPV(Faktory!$D$5,'TCO TO BE- SW'!O173:O181)+'TCO TO BE- SW'!O182+NPV(Faktory!$D$5,'TCO TO BE- SW'!O183:O191)</f>
        <v>0</v>
      </c>
      <c r="AQ14" s="451">
        <f>'TCO TO BE- SW'!P172+NPV(Faktory!$D$5,'TCO TO BE- SW'!P173:P181)+'TCO TO BE- SW'!P182+NPV(Faktory!$D$5,'TCO TO BE- SW'!P183:P191)</f>
        <v>0</v>
      </c>
      <c r="AR14" s="451">
        <f>'TCO TO BE- SW'!Q172+NPV(Faktory!$D$5,'TCO TO BE- SW'!Q173:Q181)+'TCO TO BE- SW'!Q182+NPV(Faktory!$D$5,'TCO TO BE- SW'!Q183:Q191)</f>
        <v>0</v>
      </c>
      <c r="AS14" s="451">
        <f>'TCO TO BE- SW'!R172+NPV(Faktory!$D$5,'TCO TO BE- SW'!R173:R181)+'TCO TO BE- SW'!R182+NPV(Faktory!$D$5,'TCO TO BE- SW'!R183:R191)</f>
        <v>0</v>
      </c>
      <c r="AT14" s="451">
        <f>'TCO TO BE- SW'!S172+NPV(Faktory!$D$5,'TCO TO BE- SW'!S173:S181)+'TCO TO BE- SW'!S182+NPV(Faktory!$D$5,'TCO TO BE- SW'!S183:S191)</f>
        <v>0</v>
      </c>
      <c r="AU14" s="451">
        <f>'TCO TO BE- SW'!T172+NPV(Faktory!$D$5,'TCO TO BE- SW'!T173:T181)+'TCO TO BE- SW'!T182+NPV(Faktory!$D$5,'TCO TO BE- SW'!T183:T191)</f>
        <v>0</v>
      </c>
      <c r="AV14" s="451">
        <f>'TCO TO BE- SW'!U172+NPV(Faktory!$D$5,'TCO TO BE- SW'!U173:U181)+'TCO TO BE- SW'!U182+NPV(Faktory!$D$5,'TCO TO BE- SW'!U183:U191)</f>
        <v>0</v>
      </c>
      <c r="AW14" s="451">
        <f>'TCO TO BE- SW'!V172+NPV(Faktory!$D$5,'TCO TO BE- SW'!V173:V181)+'TCO TO BE- SW'!V182+NPV(Faktory!$D$5,'TCO TO BE- SW'!V183:V191)</f>
        <v>0</v>
      </c>
      <c r="AX14" s="451">
        <f>'TCO TO BE- SW'!W172+NPV(Faktory!$D$5,'TCO TO BE- SW'!W173:W181)+'TCO TO BE- SW'!W182+NPV(Faktory!$D$5,'TCO TO BE- SW'!W183:W191)</f>
        <v>0</v>
      </c>
      <c r="AY14" s="451">
        <f>'TCO TO BE- SW'!X172+NPV(Faktory!$D$5,'TCO TO BE- SW'!X173:X181)+'TCO TO BE- SW'!X182+NPV(Faktory!$D$5,'TCO TO BE- SW'!X183:X191)</f>
        <v>0</v>
      </c>
      <c r="AZ14" s="451">
        <f>'TCO TO BE- SW'!Y172+NPV(Faktory!$D$5,'TCO TO BE- SW'!Y173:Y181)+'TCO TO BE- SW'!Y182+NPV(Faktory!$D$5,'TCO TO BE- SW'!Y183:Y191)</f>
        <v>0</v>
      </c>
      <c r="BA14" s="451">
        <f>'TCO TO BE- SW'!Z172+NPV(Faktory!$D$5,'TCO TO BE- SW'!Z173:Z181)+'TCO TO BE- SW'!Z182+NPV(Faktory!$D$5,'TCO TO BE- SW'!Z183:Z191)</f>
        <v>0</v>
      </c>
    </row>
    <row r="15" spans="1:53">
      <c r="A15" s="444" t="s">
        <v>161</v>
      </c>
      <c r="B15" s="444"/>
      <c r="C15" s="444"/>
      <c r="D15" s="452">
        <f>SUM(E15:X15)</f>
        <v>52392814.65648856</v>
      </c>
      <c r="E15" s="445">
        <f>E16+E19</f>
        <v>2619640.7328244275</v>
      </c>
      <c r="F15" s="445">
        <f t="shared" ref="F15:Y15" si="3">F16+F19</f>
        <v>2619640.7328244275</v>
      </c>
      <c r="G15" s="445">
        <f t="shared" si="3"/>
        <v>2619640.7328244275</v>
      </c>
      <c r="H15" s="445">
        <f t="shared" si="3"/>
        <v>2619640.7328244275</v>
      </c>
      <c r="I15" s="445">
        <f t="shared" si="3"/>
        <v>2619640.7328244275</v>
      </c>
      <c r="J15" s="445">
        <f t="shared" si="3"/>
        <v>2619640.7328244275</v>
      </c>
      <c r="K15" s="445">
        <f t="shared" si="3"/>
        <v>2619640.7328244275</v>
      </c>
      <c r="L15" s="445">
        <f t="shared" si="3"/>
        <v>2619640.7328244275</v>
      </c>
      <c r="M15" s="445">
        <f t="shared" si="3"/>
        <v>2619640.7328244275</v>
      </c>
      <c r="N15" s="445">
        <f t="shared" si="3"/>
        <v>2619640.7328244275</v>
      </c>
      <c r="O15" s="445">
        <f t="shared" si="3"/>
        <v>2619640.7328244275</v>
      </c>
      <c r="P15" s="445">
        <f t="shared" si="3"/>
        <v>2619640.7328244275</v>
      </c>
      <c r="Q15" s="445">
        <f t="shared" si="3"/>
        <v>2619640.7328244275</v>
      </c>
      <c r="R15" s="445">
        <f t="shared" si="3"/>
        <v>2619640.7328244275</v>
      </c>
      <c r="S15" s="445">
        <f t="shared" si="3"/>
        <v>2619640.7328244275</v>
      </c>
      <c r="T15" s="445">
        <f t="shared" si="3"/>
        <v>2619640.7328244275</v>
      </c>
      <c r="U15" s="445">
        <f t="shared" si="3"/>
        <v>2619640.7328244275</v>
      </c>
      <c r="V15" s="445">
        <f t="shared" si="3"/>
        <v>2619640.7328244275</v>
      </c>
      <c r="W15" s="445">
        <f t="shared" si="3"/>
        <v>2619640.7328244275</v>
      </c>
      <c r="X15" s="445">
        <f t="shared" si="3"/>
        <v>2619640.7328244275</v>
      </c>
      <c r="Y15" s="445">
        <f t="shared" si="3"/>
        <v>0</v>
      </c>
      <c r="AC15" s="444" t="s">
        <v>161</v>
      </c>
      <c r="AD15" s="444"/>
      <c r="AE15" s="444"/>
      <c r="AF15" s="452">
        <f>SUM(AG15:AZ15)</f>
        <v>40312608.117865674</v>
      </c>
      <c r="AG15" s="452">
        <f>AG16+AG19</f>
        <v>2015630.4058932837</v>
      </c>
      <c r="AH15" s="452">
        <f t="shared" ref="AH15:BA15" si="4">AH16+AH19</f>
        <v>2015630.4058932837</v>
      </c>
      <c r="AI15" s="452">
        <f t="shared" si="4"/>
        <v>2015630.4058932837</v>
      </c>
      <c r="AJ15" s="452">
        <f t="shared" si="4"/>
        <v>2015630.4058932837</v>
      </c>
      <c r="AK15" s="452">
        <f t="shared" si="4"/>
        <v>2015630.4058932837</v>
      </c>
      <c r="AL15" s="452">
        <f t="shared" si="4"/>
        <v>2015630.4058932837</v>
      </c>
      <c r="AM15" s="452">
        <f t="shared" si="4"/>
        <v>2015630.4058932837</v>
      </c>
      <c r="AN15" s="452">
        <f t="shared" si="4"/>
        <v>2015630.4058932837</v>
      </c>
      <c r="AO15" s="452">
        <f t="shared" si="4"/>
        <v>2015630.4058932837</v>
      </c>
      <c r="AP15" s="452">
        <f t="shared" si="4"/>
        <v>2015630.4058932837</v>
      </c>
      <c r="AQ15" s="452">
        <f t="shared" si="4"/>
        <v>2015630.4058932837</v>
      </c>
      <c r="AR15" s="452">
        <f t="shared" si="4"/>
        <v>2015630.4058932837</v>
      </c>
      <c r="AS15" s="452">
        <f t="shared" si="4"/>
        <v>2015630.4058932837</v>
      </c>
      <c r="AT15" s="452">
        <f t="shared" si="4"/>
        <v>2015630.4058932837</v>
      </c>
      <c r="AU15" s="452">
        <f t="shared" si="4"/>
        <v>2015630.4058932837</v>
      </c>
      <c r="AV15" s="452">
        <f t="shared" si="4"/>
        <v>2015630.4058932837</v>
      </c>
      <c r="AW15" s="452">
        <f t="shared" si="4"/>
        <v>2015630.4058932837</v>
      </c>
      <c r="AX15" s="452">
        <f t="shared" si="4"/>
        <v>2015630.4058932837</v>
      </c>
      <c r="AY15" s="452">
        <f t="shared" si="4"/>
        <v>2015630.4058932837</v>
      </c>
      <c r="AZ15" s="452">
        <f t="shared" si="4"/>
        <v>2015630.4058932837</v>
      </c>
      <c r="BA15" s="452">
        <f t="shared" si="4"/>
        <v>0</v>
      </c>
    </row>
    <row r="16" spans="1:53">
      <c r="A16" s="446"/>
      <c r="B16" s="447" t="s">
        <v>17</v>
      </c>
      <c r="C16" s="447"/>
      <c r="D16" s="448">
        <f>SUM(E16:X16)</f>
        <v>0</v>
      </c>
      <c r="E16" s="448">
        <f>E17+E18</f>
        <v>0</v>
      </c>
      <c r="F16" s="448">
        <f t="shared" ref="F16:Y16" si="5">F17+F18</f>
        <v>0</v>
      </c>
      <c r="G16" s="448">
        <f t="shared" si="5"/>
        <v>0</v>
      </c>
      <c r="H16" s="448">
        <f t="shared" si="5"/>
        <v>0</v>
      </c>
      <c r="I16" s="448">
        <f t="shared" si="5"/>
        <v>0</v>
      </c>
      <c r="J16" s="448">
        <f t="shared" si="5"/>
        <v>0</v>
      </c>
      <c r="K16" s="448">
        <f t="shared" si="5"/>
        <v>0</v>
      </c>
      <c r="L16" s="448">
        <f t="shared" si="5"/>
        <v>0</v>
      </c>
      <c r="M16" s="448">
        <f t="shared" si="5"/>
        <v>0</v>
      </c>
      <c r="N16" s="448">
        <f t="shared" si="5"/>
        <v>0</v>
      </c>
      <c r="O16" s="448">
        <f t="shared" si="5"/>
        <v>0</v>
      </c>
      <c r="P16" s="448">
        <f t="shared" si="5"/>
        <v>0</v>
      </c>
      <c r="Q16" s="448">
        <f t="shared" si="5"/>
        <v>0</v>
      </c>
      <c r="R16" s="448">
        <f t="shared" si="5"/>
        <v>0</v>
      </c>
      <c r="S16" s="448">
        <f t="shared" si="5"/>
        <v>0</v>
      </c>
      <c r="T16" s="448">
        <f t="shared" si="5"/>
        <v>0</v>
      </c>
      <c r="U16" s="448">
        <f t="shared" si="5"/>
        <v>0</v>
      </c>
      <c r="V16" s="448">
        <f t="shared" si="5"/>
        <v>0</v>
      </c>
      <c r="W16" s="448">
        <f t="shared" si="5"/>
        <v>0</v>
      </c>
      <c r="X16" s="448">
        <f t="shared" si="5"/>
        <v>0</v>
      </c>
      <c r="Y16" s="448">
        <f t="shared" si="5"/>
        <v>0</v>
      </c>
      <c r="AC16" s="446"/>
      <c r="AD16" s="447" t="s">
        <v>17</v>
      </c>
      <c r="AE16" s="447"/>
      <c r="AF16" s="448">
        <f>SUM(AG16:AZ16)</f>
        <v>0</v>
      </c>
      <c r="AG16" s="448">
        <f>AG17+AG18</f>
        <v>0</v>
      </c>
      <c r="AH16" s="448">
        <f t="shared" ref="AH16:BA16" si="6">AH17+AH18</f>
        <v>0</v>
      </c>
      <c r="AI16" s="448">
        <f t="shared" si="6"/>
        <v>0</v>
      </c>
      <c r="AJ16" s="448">
        <f t="shared" si="6"/>
        <v>0</v>
      </c>
      <c r="AK16" s="448">
        <f t="shared" si="6"/>
        <v>0</v>
      </c>
      <c r="AL16" s="448">
        <f t="shared" si="6"/>
        <v>0</v>
      </c>
      <c r="AM16" s="448">
        <f t="shared" si="6"/>
        <v>0</v>
      </c>
      <c r="AN16" s="448">
        <f t="shared" si="6"/>
        <v>0</v>
      </c>
      <c r="AO16" s="448">
        <f t="shared" si="6"/>
        <v>0</v>
      </c>
      <c r="AP16" s="448">
        <f t="shared" si="6"/>
        <v>0</v>
      </c>
      <c r="AQ16" s="448">
        <f t="shared" si="6"/>
        <v>0</v>
      </c>
      <c r="AR16" s="448">
        <f t="shared" si="6"/>
        <v>0</v>
      </c>
      <c r="AS16" s="448">
        <f t="shared" si="6"/>
        <v>0</v>
      </c>
      <c r="AT16" s="448">
        <f t="shared" si="6"/>
        <v>0</v>
      </c>
      <c r="AU16" s="448">
        <f t="shared" si="6"/>
        <v>0</v>
      </c>
      <c r="AV16" s="448">
        <f t="shared" si="6"/>
        <v>0</v>
      </c>
      <c r="AW16" s="448">
        <f t="shared" si="6"/>
        <v>0</v>
      </c>
      <c r="AX16" s="448">
        <f t="shared" si="6"/>
        <v>0</v>
      </c>
      <c r="AY16" s="448">
        <f t="shared" si="6"/>
        <v>0</v>
      </c>
      <c r="AZ16" s="448">
        <f t="shared" si="6"/>
        <v>0</v>
      </c>
      <c r="BA16" s="448">
        <f t="shared" si="6"/>
        <v>0</v>
      </c>
    </row>
    <row r="17" spans="1:53">
      <c r="A17" s="449"/>
      <c r="B17" s="449"/>
      <c r="C17" s="450" t="s">
        <v>47</v>
      </c>
      <c r="D17" s="466">
        <f>SUM(E17:X17)</f>
        <v>0</v>
      </c>
      <c r="E17" s="466">
        <f>SUM('Parametre - Agendové IS'!I116:I125)</f>
        <v>0</v>
      </c>
      <c r="F17" s="466">
        <f>SUM('Parametre - Agendové IS'!J116:J125)</f>
        <v>0</v>
      </c>
      <c r="G17" s="466">
        <f>SUM('Parametre - Agendové IS'!K116:K125)</f>
        <v>0</v>
      </c>
      <c r="H17" s="466">
        <f>SUM('Parametre - Agendové IS'!L116:L125)</f>
        <v>0</v>
      </c>
      <c r="I17" s="466">
        <f>SUM('Parametre - Agendové IS'!M116:M125)</f>
        <v>0</v>
      </c>
      <c r="J17" s="466">
        <f>SUM('Parametre - Agendové IS'!N116:N125)</f>
        <v>0</v>
      </c>
      <c r="K17" s="466">
        <f>SUM('Parametre - Agendové IS'!O116:O125)</f>
        <v>0</v>
      </c>
      <c r="L17" s="466">
        <f>SUM('Parametre - Agendové IS'!P116:P125)</f>
        <v>0</v>
      </c>
      <c r="M17" s="466">
        <f>SUM('Parametre - Agendové IS'!Q116:Q125)</f>
        <v>0</v>
      </c>
      <c r="N17" s="466">
        <f>SUM('Parametre - Agendové IS'!R116:R125)</f>
        <v>0</v>
      </c>
      <c r="O17" s="466">
        <f>SUM('Parametre - Agendové IS'!S116:S125)</f>
        <v>0</v>
      </c>
      <c r="P17" s="466">
        <f>SUM('Parametre - Agendové IS'!T116:T125)</f>
        <v>0</v>
      </c>
      <c r="Q17" s="466">
        <f>SUM('Parametre - Agendové IS'!U116:U125)</f>
        <v>0</v>
      </c>
      <c r="R17" s="466">
        <f>SUM('Parametre - Agendové IS'!V116:V125)</f>
        <v>0</v>
      </c>
      <c r="S17" s="466">
        <f>SUM('Parametre - Agendové IS'!W116:W125)</f>
        <v>0</v>
      </c>
      <c r="T17" s="466">
        <f>SUM('Parametre - Agendové IS'!X116:X125)</f>
        <v>0</v>
      </c>
      <c r="U17" s="466">
        <f>SUM('Parametre - Agendové IS'!Y116:Y125)</f>
        <v>0</v>
      </c>
      <c r="V17" s="466">
        <f>SUM('Parametre - Agendové IS'!Z116:Z125)</f>
        <v>0</v>
      </c>
      <c r="W17" s="466">
        <f>SUM('Parametre - Agendové IS'!AA116:AA125)</f>
        <v>0</v>
      </c>
      <c r="X17" s="466">
        <f>SUM('Parametre - Agendové IS'!AB116:AB125)</f>
        <v>0</v>
      </c>
      <c r="Y17" s="466">
        <f>SUM('Parametre - Agendové IS'!AC116:AC125)</f>
        <v>0</v>
      </c>
      <c r="AC17" s="449"/>
      <c r="AD17" s="449"/>
      <c r="AE17" s="450" t="s">
        <v>47</v>
      </c>
      <c r="AF17" s="461">
        <f>SUM(AG17:AZ17)</f>
        <v>0</v>
      </c>
      <c r="AG17" s="461">
        <f>'Parametre - Agendové IS'!I116+NPV(Faktory!$D$3,'Parametre - Agendové IS'!I117:I125)</f>
        <v>0</v>
      </c>
      <c r="AH17" s="461">
        <f>'Parametre - Agendové IS'!J116+NPV(Faktory!$D$3,'Parametre - Agendové IS'!J117:J125)</f>
        <v>0</v>
      </c>
      <c r="AI17" s="461">
        <f>'Parametre - Agendové IS'!K116+NPV(Faktory!$D$3,'Parametre - Agendové IS'!K117:K125)</f>
        <v>0</v>
      </c>
      <c r="AJ17" s="461">
        <f>'Parametre - Agendové IS'!L116+NPV(Faktory!$D$3,'Parametre - Agendové IS'!L117:L125)</f>
        <v>0</v>
      </c>
      <c r="AK17" s="461">
        <f>'Parametre - Agendové IS'!M116+NPV(Faktory!$D$3,'Parametre - Agendové IS'!M117:M125)</f>
        <v>0</v>
      </c>
      <c r="AL17" s="461">
        <f>'Parametre - Agendové IS'!N116+NPV(Faktory!$D$3,'Parametre - Agendové IS'!N117:N125)</f>
        <v>0</v>
      </c>
      <c r="AM17" s="461">
        <f>'Parametre - Agendové IS'!O116+NPV(Faktory!$D$3,'Parametre - Agendové IS'!O117:O125)</f>
        <v>0</v>
      </c>
      <c r="AN17" s="461">
        <f>'Parametre - Agendové IS'!P116+NPV(Faktory!$D$3,'Parametre - Agendové IS'!P117:P125)</f>
        <v>0</v>
      </c>
      <c r="AO17" s="461">
        <f>'Parametre - Agendové IS'!Q116+NPV(Faktory!$D$3,'Parametre - Agendové IS'!Q117:Q125)</f>
        <v>0</v>
      </c>
      <c r="AP17" s="461">
        <f>'Parametre - Agendové IS'!R116+NPV(Faktory!$D$3,'Parametre - Agendové IS'!R117:R125)</f>
        <v>0</v>
      </c>
      <c r="AQ17" s="461">
        <f>'Parametre - Agendové IS'!S116+NPV(Faktory!$D$3,'Parametre - Agendové IS'!S117:S125)</f>
        <v>0</v>
      </c>
      <c r="AR17" s="461">
        <f>'Parametre - Agendové IS'!T116+NPV(Faktory!$D$3,'Parametre - Agendové IS'!T117:T125)</f>
        <v>0</v>
      </c>
      <c r="AS17" s="461">
        <f>'Parametre - Agendové IS'!U116+NPV(Faktory!$D$3,'Parametre - Agendové IS'!U117:U125)</f>
        <v>0</v>
      </c>
      <c r="AT17" s="461">
        <f>'Parametre - Agendové IS'!V116+NPV(Faktory!$D$3,'Parametre - Agendové IS'!V117:V125)</f>
        <v>0</v>
      </c>
      <c r="AU17" s="461">
        <f>'Parametre - Agendové IS'!W116+NPV(Faktory!$D$3,'Parametre - Agendové IS'!W117:W125)</f>
        <v>0</v>
      </c>
      <c r="AV17" s="461">
        <f>'Parametre - Agendové IS'!X116+NPV(Faktory!$D$3,'Parametre - Agendové IS'!X117:X125)</f>
        <v>0</v>
      </c>
      <c r="AW17" s="461">
        <f>'Parametre - Agendové IS'!Y116+NPV(Faktory!$D$3,'Parametre - Agendové IS'!Y117:Y125)</f>
        <v>0</v>
      </c>
      <c r="AX17" s="461">
        <f>'Parametre - Agendové IS'!Z116+NPV(Faktory!$D$3,'Parametre - Agendové IS'!Z117:Z125)</f>
        <v>0</v>
      </c>
      <c r="AY17" s="461">
        <f>'Parametre - Agendové IS'!AA116+NPV(Faktory!$D$3,'Parametre - Agendové IS'!AA117:AA125)</f>
        <v>0</v>
      </c>
      <c r="AZ17" s="461">
        <f>'Parametre - Agendové IS'!AB116+NPV(Faktory!$D$3,'Parametre - Agendové IS'!AB117:AB125)</f>
        <v>0</v>
      </c>
      <c r="BA17" s="461">
        <f>'Parametre - Agendové IS'!AC116+NPV(Faktory!$D$3,'Parametre - Agendové IS'!AC117:AC125)</f>
        <v>0</v>
      </c>
    </row>
    <row r="18" spans="1:53">
      <c r="A18" s="449"/>
      <c r="B18" s="449"/>
      <c r="C18" s="450" t="s">
        <v>48</v>
      </c>
      <c r="D18" s="466">
        <f>'Prínosy - Agendové IS'!AN15</f>
        <v>0</v>
      </c>
      <c r="E18" s="463"/>
      <c r="F18" s="463"/>
      <c r="G18" s="463"/>
      <c r="H18" s="463"/>
      <c r="I18" s="463"/>
      <c r="J18" s="464"/>
      <c r="K18" s="463"/>
      <c r="L18" s="463"/>
      <c r="M18" s="463"/>
      <c r="N18" s="464"/>
      <c r="O18" s="463"/>
      <c r="P18" s="463"/>
      <c r="Q18" s="463"/>
      <c r="R18" s="464"/>
      <c r="S18" s="463"/>
      <c r="T18" s="463"/>
      <c r="U18" s="463"/>
      <c r="V18" s="464"/>
      <c r="W18" s="463"/>
      <c r="X18" s="463"/>
      <c r="Y18" s="463"/>
      <c r="Z18" s="333"/>
      <c r="AC18" s="449"/>
      <c r="AD18" s="449"/>
      <c r="AE18" s="450" t="s">
        <v>48</v>
      </c>
      <c r="AF18" s="461">
        <f>'Prínosy - Agendové IS'!L15</f>
        <v>0</v>
      </c>
      <c r="AG18" s="463"/>
      <c r="AH18" s="463"/>
      <c r="AI18" s="463"/>
      <c r="AJ18" s="463"/>
      <c r="AK18" s="464"/>
      <c r="AL18" s="463"/>
      <c r="AM18" s="463"/>
      <c r="AN18" s="463"/>
      <c r="AO18" s="464"/>
      <c r="AP18" s="463"/>
      <c r="AQ18" s="463"/>
      <c r="AR18" s="463"/>
      <c r="AS18" s="464"/>
      <c r="AT18" s="463"/>
      <c r="AU18" s="463"/>
      <c r="AV18" s="463"/>
      <c r="AW18" s="464"/>
      <c r="AX18" s="463"/>
      <c r="AY18" s="463"/>
      <c r="AZ18" s="463"/>
      <c r="BA18" s="464"/>
    </row>
    <row r="19" spans="1:53">
      <c r="A19" s="446"/>
      <c r="B19" s="447" t="s">
        <v>18</v>
      </c>
      <c r="C19" s="447"/>
      <c r="D19" s="448">
        <f>SUM(E19:X19)</f>
        <v>52392814.65648856</v>
      </c>
      <c r="E19" s="448">
        <f>E20+E21+E23</f>
        <v>2619640.7328244275</v>
      </c>
      <c r="F19" s="448">
        <f t="shared" ref="F19:Y19" si="7">F20+F21+F23</f>
        <v>2619640.7328244275</v>
      </c>
      <c r="G19" s="448">
        <f t="shared" si="7"/>
        <v>2619640.7328244275</v>
      </c>
      <c r="H19" s="448">
        <f t="shared" si="7"/>
        <v>2619640.7328244275</v>
      </c>
      <c r="I19" s="448">
        <f t="shared" si="7"/>
        <v>2619640.7328244275</v>
      </c>
      <c r="J19" s="448">
        <f t="shared" si="7"/>
        <v>2619640.7328244275</v>
      </c>
      <c r="K19" s="448">
        <f t="shared" si="7"/>
        <v>2619640.7328244275</v>
      </c>
      <c r="L19" s="448">
        <f t="shared" si="7"/>
        <v>2619640.7328244275</v>
      </c>
      <c r="M19" s="448">
        <f t="shared" si="7"/>
        <v>2619640.7328244275</v>
      </c>
      <c r="N19" s="448">
        <f t="shared" si="7"/>
        <v>2619640.7328244275</v>
      </c>
      <c r="O19" s="448">
        <f t="shared" si="7"/>
        <v>2619640.7328244275</v>
      </c>
      <c r="P19" s="448">
        <f t="shared" si="7"/>
        <v>2619640.7328244275</v>
      </c>
      <c r="Q19" s="448">
        <f t="shared" si="7"/>
        <v>2619640.7328244275</v>
      </c>
      <c r="R19" s="448">
        <f t="shared" si="7"/>
        <v>2619640.7328244275</v>
      </c>
      <c r="S19" s="448">
        <f t="shared" si="7"/>
        <v>2619640.7328244275</v>
      </c>
      <c r="T19" s="448">
        <f t="shared" si="7"/>
        <v>2619640.7328244275</v>
      </c>
      <c r="U19" s="448">
        <f t="shared" si="7"/>
        <v>2619640.7328244275</v>
      </c>
      <c r="V19" s="448">
        <f t="shared" si="7"/>
        <v>2619640.7328244275</v>
      </c>
      <c r="W19" s="448">
        <f t="shared" si="7"/>
        <v>2619640.7328244275</v>
      </c>
      <c r="X19" s="448">
        <f t="shared" si="7"/>
        <v>2619640.7328244275</v>
      </c>
      <c r="Y19" s="448">
        <f t="shared" si="7"/>
        <v>0</v>
      </c>
      <c r="AC19" s="446"/>
      <c r="AD19" s="447" t="s">
        <v>18</v>
      </c>
      <c r="AE19" s="447"/>
      <c r="AF19" s="448">
        <f>SUM(AG19:AZ19)</f>
        <v>40312608.117865674</v>
      </c>
      <c r="AG19" s="448">
        <f>AG20+AG21+AG23</f>
        <v>2015630.4058932837</v>
      </c>
      <c r="AH19" s="448">
        <f t="shared" ref="AH19:BA19" si="8">AH20+AH21+AH23</f>
        <v>2015630.4058932837</v>
      </c>
      <c r="AI19" s="448">
        <f t="shared" si="8"/>
        <v>2015630.4058932837</v>
      </c>
      <c r="AJ19" s="448">
        <f t="shared" si="8"/>
        <v>2015630.4058932837</v>
      </c>
      <c r="AK19" s="448">
        <f t="shared" si="8"/>
        <v>2015630.4058932837</v>
      </c>
      <c r="AL19" s="448">
        <f t="shared" si="8"/>
        <v>2015630.4058932837</v>
      </c>
      <c r="AM19" s="448">
        <f t="shared" si="8"/>
        <v>2015630.4058932837</v>
      </c>
      <c r="AN19" s="448">
        <f t="shared" si="8"/>
        <v>2015630.4058932837</v>
      </c>
      <c r="AO19" s="448">
        <f t="shared" si="8"/>
        <v>2015630.4058932837</v>
      </c>
      <c r="AP19" s="448">
        <f t="shared" si="8"/>
        <v>2015630.4058932837</v>
      </c>
      <c r="AQ19" s="448">
        <f t="shared" si="8"/>
        <v>2015630.4058932837</v>
      </c>
      <c r="AR19" s="448">
        <f t="shared" si="8"/>
        <v>2015630.4058932837</v>
      </c>
      <c r="AS19" s="448">
        <f t="shared" si="8"/>
        <v>2015630.4058932837</v>
      </c>
      <c r="AT19" s="448">
        <f t="shared" si="8"/>
        <v>2015630.4058932837</v>
      </c>
      <c r="AU19" s="448">
        <f t="shared" si="8"/>
        <v>2015630.4058932837</v>
      </c>
      <c r="AV19" s="448">
        <f t="shared" si="8"/>
        <v>2015630.4058932837</v>
      </c>
      <c r="AW19" s="448">
        <f t="shared" si="8"/>
        <v>2015630.4058932837</v>
      </c>
      <c r="AX19" s="448">
        <f t="shared" si="8"/>
        <v>2015630.4058932837</v>
      </c>
      <c r="AY19" s="448">
        <f t="shared" si="8"/>
        <v>2015630.4058932837</v>
      </c>
      <c r="AZ19" s="448">
        <f t="shared" si="8"/>
        <v>2015630.4058932837</v>
      </c>
      <c r="BA19" s="448">
        <f t="shared" si="8"/>
        <v>0</v>
      </c>
    </row>
    <row r="20" spans="1:53">
      <c r="A20" s="449"/>
      <c r="B20" s="449"/>
      <c r="C20" s="450" t="s">
        <v>163</v>
      </c>
      <c r="D20" s="466">
        <f>SUM(E20:X20)</f>
        <v>55173600</v>
      </c>
      <c r="E20" s="466">
        <f>SUM('Parametre - Agendové IS'!I96:I105)</f>
        <v>2758680</v>
      </c>
      <c r="F20" s="466">
        <f>SUM('Parametre - Agendové IS'!L96:L105)</f>
        <v>2758680</v>
      </c>
      <c r="G20" s="466">
        <f>SUM('Parametre - Agendové IS'!O96:O105)</f>
        <v>2758680</v>
      </c>
      <c r="H20" s="466">
        <f>SUM('Parametre - Agendové IS'!R96:R105)</f>
        <v>2758680</v>
      </c>
      <c r="I20" s="466">
        <f>SUM('Parametre - Agendové IS'!U96:U105)</f>
        <v>2758680</v>
      </c>
      <c r="J20" s="466">
        <f>SUM('Parametre - Agendové IS'!X96:X105)</f>
        <v>2758680</v>
      </c>
      <c r="K20" s="466">
        <f>SUM('Parametre - Agendové IS'!AA96:AA105)</f>
        <v>2758680</v>
      </c>
      <c r="L20" s="466">
        <f>SUM('Parametre - Agendové IS'!AD96:AD105)</f>
        <v>2758680</v>
      </c>
      <c r="M20" s="466">
        <f>SUM('Parametre - Agendové IS'!AG96:AG105)</f>
        <v>2758680</v>
      </c>
      <c r="N20" s="466">
        <f>SUM('Parametre - Agendové IS'!AJ96:AJ105)</f>
        <v>2758680</v>
      </c>
      <c r="O20" s="466">
        <f>SUM('Parametre - Agendové IS'!AM96:AM105)</f>
        <v>2758680</v>
      </c>
      <c r="P20" s="466">
        <f>SUM('Parametre - Agendové IS'!AP96:AP105)</f>
        <v>2758680</v>
      </c>
      <c r="Q20" s="466">
        <f>SUM('Parametre - Agendové IS'!AS96:AS105)</f>
        <v>2758680</v>
      </c>
      <c r="R20" s="466">
        <f>SUM('Parametre - Agendové IS'!AV96:AV105)</f>
        <v>2758680</v>
      </c>
      <c r="S20" s="466">
        <f>SUM('Parametre - Agendové IS'!AY96:AY105)</f>
        <v>2758680</v>
      </c>
      <c r="T20" s="466">
        <f>SUM('Parametre - Agendové IS'!BB96:BB105)</f>
        <v>2758680</v>
      </c>
      <c r="U20" s="466">
        <f>SUM('Parametre - Agendové IS'!BE96:BE105)</f>
        <v>2758680</v>
      </c>
      <c r="V20" s="466">
        <f>SUM('Parametre - Agendové IS'!BH96:BH105)</f>
        <v>2758680</v>
      </c>
      <c r="W20" s="466">
        <f>SUM('Parametre - Agendové IS'!BK96:BK105)</f>
        <v>2758680</v>
      </c>
      <c r="X20" s="466">
        <f>SUM('Parametre - Agendové IS'!BN96:BN105)</f>
        <v>2758680</v>
      </c>
      <c r="Y20" s="466">
        <f>SUM('Parametre - Agendové IS'!BQ96:BQ105)</f>
        <v>0</v>
      </c>
      <c r="AC20" s="449"/>
      <c r="AD20" s="449"/>
      <c r="AE20" s="450" t="s">
        <v>163</v>
      </c>
      <c r="AF20" s="461">
        <f>SUM(AG20:AZ20)</f>
        <v>42452228.036128595</v>
      </c>
      <c r="AG20" s="461">
        <f>'Parametre - Agendové IS'!I96+NPV(Faktory!$D$5,'Parametre - Agendové IS'!I97:I105)</f>
        <v>2122611.4018064309</v>
      </c>
      <c r="AH20" s="461">
        <f>'Parametre - Agendové IS'!L96+NPV(Faktory!$D$5,'Parametre - Agendové IS'!L97:L105)</f>
        <v>2122611.4018064309</v>
      </c>
      <c r="AI20" s="461">
        <f>'Parametre - Agendové IS'!O96+NPV(Faktory!$D$5,'Parametre - Agendové IS'!O97:O105)</f>
        <v>2122611.4018064309</v>
      </c>
      <c r="AJ20" s="461">
        <f>'Parametre - Agendové IS'!R96+NPV(Faktory!$D$5,'Parametre - Agendové IS'!R97:R105)</f>
        <v>2122611.4018064309</v>
      </c>
      <c r="AK20" s="461">
        <f>'Parametre - Agendové IS'!U96+NPV(Faktory!$D$5,'Parametre - Agendové IS'!U97:U105)</f>
        <v>2122611.4018064309</v>
      </c>
      <c r="AL20" s="461">
        <f>'Parametre - Agendové IS'!X96+NPV(Faktory!$D$5,'Parametre - Agendové IS'!X97:X105)</f>
        <v>2122611.4018064309</v>
      </c>
      <c r="AM20" s="461">
        <f>'Parametre - Agendové IS'!AA96+NPV(Faktory!$D$5,'Parametre - Agendové IS'!AA97:AA105)</f>
        <v>2122611.4018064309</v>
      </c>
      <c r="AN20" s="461">
        <f>'Parametre - Agendové IS'!AD96+NPV(Faktory!$D$5,'Parametre - Agendové IS'!AD97:AD105)</f>
        <v>2122611.4018064309</v>
      </c>
      <c r="AO20" s="461">
        <f>'Parametre - Agendové IS'!AG96+NPV(Faktory!$D$5,'Parametre - Agendové IS'!AG97:AG105)</f>
        <v>2122611.4018064309</v>
      </c>
      <c r="AP20" s="461">
        <f>'Parametre - Agendové IS'!AJ96+NPV(Faktory!$D$5,'Parametre - Agendové IS'!AJ97:AJ105)</f>
        <v>2122611.4018064309</v>
      </c>
      <c r="AQ20" s="461">
        <f>'Parametre - Agendové IS'!AM96+NPV(Faktory!$D$5,'Parametre - Agendové IS'!AM97:AM105)</f>
        <v>2122611.4018064309</v>
      </c>
      <c r="AR20" s="461">
        <f>'Parametre - Agendové IS'!AP96+NPV(Faktory!$D$5,'Parametre - Agendové IS'!AP97:AP105)</f>
        <v>2122611.4018064309</v>
      </c>
      <c r="AS20" s="461">
        <f>'Parametre - Agendové IS'!AS96+NPV(Faktory!$D$5,'Parametre - Agendové IS'!AS97:AS105)</f>
        <v>2122611.4018064309</v>
      </c>
      <c r="AT20" s="461">
        <f>'Parametre - Agendové IS'!AV96+NPV(Faktory!$D$5,'Parametre - Agendové IS'!AV97:AV105)</f>
        <v>2122611.4018064309</v>
      </c>
      <c r="AU20" s="461">
        <f>'Parametre - Agendové IS'!AY96+NPV(Faktory!$D$5,'Parametre - Agendové IS'!AY97:AY105)</f>
        <v>2122611.4018064309</v>
      </c>
      <c r="AV20" s="461">
        <f>'Parametre - Agendové IS'!BB96+NPV(Faktory!$D$5,'Parametre - Agendové IS'!BB97:BB105)</f>
        <v>2122611.4018064309</v>
      </c>
      <c r="AW20" s="461">
        <f>'Parametre - Agendové IS'!BE96+NPV(Faktory!$D$5,'Parametre - Agendové IS'!BE97:BE105)</f>
        <v>2122611.4018064309</v>
      </c>
      <c r="AX20" s="461">
        <f>'Parametre - Agendové IS'!BH96+NPV(Faktory!$D$5,'Parametre - Agendové IS'!BH97:BH105)</f>
        <v>2122611.4018064309</v>
      </c>
      <c r="AY20" s="461">
        <f>'Parametre - Agendové IS'!BK96+NPV(Faktory!$D$5,'Parametre - Agendové IS'!BK97:BK105)</f>
        <v>2122611.4018064309</v>
      </c>
      <c r="AZ20" s="461">
        <f>'Parametre - Agendové IS'!BN96+NPV(Faktory!$D$5,'Parametre - Agendové IS'!BN97:BN105)</f>
        <v>2122611.4018064309</v>
      </c>
      <c r="BA20" s="461">
        <f>'Parametre - Agendové IS'!BQ96+NPV(Faktory!$D$5,'Parametre - Agendové IS'!BQ97:BQC105)</f>
        <v>0</v>
      </c>
    </row>
    <row r="21" spans="1:53">
      <c r="A21" s="449"/>
      <c r="B21" s="449"/>
      <c r="C21" s="450" t="s">
        <v>162</v>
      </c>
      <c r="D21" s="466">
        <f>SUM(E21:X21)</f>
        <v>-2780785.3435114496</v>
      </c>
      <c r="E21" s="466">
        <f>-(SUM('Parametre - Agendové IS'!I76:I85))</f>
        <v>-139039.26717557249</v>
      </c>
      <c r="F21" s="466">
        <f>-(SUM('Parametre - Agendové IS'!L76:L85))</f>
        <v>-139039.26717557249</v>
      </c>
      <c r="G21" s="466">
        <f>-(SUM('Parametre - Agendové IS'!O76:O85))</f>
        <v>-139039.26717557249</v>
      </c>
      <c r="H21" s="466">
        <f>-(SUM('Parametre - Agendové IS'!R76:R85))</f>
        <v>-139039.26717557249</v>
      </c>
      <c r="I21" s="466">
        <f>-(SUM('Parametre - Agendové IS'!U76:U85))</f>
        <v>-139039.26717557249</v>
      </c>
      <c r="J21" s="466">
        <f>-(SUM('Parametre - Agendové IS'!X76:X85))</f>
        <v>-139039.26717557249</v>
      </c>
      <c r="K21" s="466">
        <f>-(SUM('Parametre - Agendové IS'!AA76:AA85))</f>
        <v>-139039.26717557249</v>
      </c>
      <c r="L21" s="466">
        <f>-(SUM('Parametre - Agendové IS'!AD76:AD85))</f>
        <v>-139039.26717557249</v>
      </c>
      <c r="M21" s="466">
        <f>-(SUM('Parametre - Agendové IS'!AG76:AG85))</f>
        <v>-139039.26717557249</v>
      </c>
      <c r="N21" s="466">
        <f>-(SUM('Parametre - Agendové IS'!AJ76:AJ85))</f>
        <v>-139039.26717557249</v>
      </c>
      <c r="O21" s="466">
        <f>-(SUM('Parametre - Agendové IS'!AM76:AM85))</f>
        <v>-139039.26717557249</v>
      </c>
      <c r="P21" s="466">
        <f>-(SUM('Parametre - Agendové IS'!AP76:AP85))</f>
        <v>-139039.26717557249</v>
      </c>
      <c r="Q21" s="466">
        <f>-(SUM('Parametre - Agendové IS'!AS76:AS85))</f>
        <v>-139039.26717557249</v>
      </c>
      <c r="R21" s="466">
        <f>-(SUM('Parametre - Agendové IS'!AV76:AV85))</f>
        <v>-139039.26717557249</v>
      </c>
      <c r="S21" s="466">
        <f>-(SUM('Parametre - Agendové IS'!AY76:AY85))</f>
        <v>-139039.26717557249</v>
      </c>
      <c r="T21" s="466">
        <f>-(SUM('Parametre - Agendové IS'!BB76:BB85))</f>
        <v>-139039.26717557249</v>
      </c>
      <c r="U21" s="466">
        <f>-(SUM('Parametre - Agendové IS'!BE76:BE85))</f>
        <v>-139039.26717557249</v>
      </c>
      <c r="V21" s="466">
        <f>-(SUM('Parametre - Agendové IS'!BH76:BH85))</f>
        <v>-139039.26717557249</v>
      </c>
      <c r="W21" s="466">
        <f>-(SUM('Parametre - Agendové IS'!BK76:BK85))</f>
        <v>-139039.26717557249</v>
      </c>
      <c r="X21" s="466">
        <f>-(SUM('Parametre - Agendové IS'!BN76:BN85))</f>
        <v>-139039.26717557249</v>
      </c>
      <c r="Y21" s="466">
        <f>-(SUM('Parametre - Agendové IS'!BQ76:BQ85))</f>
        <v>0</v>
      </c>
      <c r="AC21" s="449"/>
      <c r="AD21" s="449"/>
      <c r="AE21" s="450" t="s">
        <v>162</v>
      </c>
      <c r="AF21" s="461">
        <f>SUM(AG21:AZ21)</f>
        <v>-2139619.9182629441</v>
      </c>
      <c r="AG21" s="461">
        <f>-('Parametre - Agendové IS'!I76+NPV(Faktory!$D$5,'Parametre - Agendové IS'!I77:I85))</f>
        <v>-106980.99591314717</v>
      </c>
      <c r="AH21" s="461">
        <f>-('Parametre - Agendové IS'!L76+NPV(Faktory!$D$5,'Parametre - Agendové IS'!L77:L85))</f>
        <v>-106980.99591314717</v>
      </c>
      <c r="AI21" s="461">
        <f>-('Parametre - Agendové IS'!O76+NPV(Faktory!$D$5,'Parametre - Agendové IS'!O77:O85))</f>
        <v>-106980.99591314717</v>
      </c>
      <c r="AJ21" s="461">
        <f>-('Parametre - Agendové IS'!R76+NPV(Faktory!$D$5,'Parametre - Agendové IS'!R77:R85))</f>
        <v>-106980.99591314717</v>
      </c>
      <c r="AK21" s="461">
        <f>-('Parametre - Agendové IS'!U76+NPV(Faktory!$D$5,'Parametre - Agendové IS'!U77:U85))</f>
        <v>-106980.99591314717</v>
      </c>
      <c r="AL21" s="461">
        <f>-('Parametre - Agendové IS'!X76+NPV(Faktory!$D$5,'Parametre - Agendové IS'!X77:X85))</f>
        <v>-106980.99591314717</v>
      </c>
      <c r="AM21" s="461">
        <f>-('Parametre - Agendové IS'!AA76+NPV(Faktory!$D$5,'Parametre - Agendové IS'!AA77:AA85))</f>
        <v>-106980.99591314717</v>
      </c>
      <c r="AN21" s="461">
        <f>-('Parametre - Agendové IS'!AD76+NPV(Faktory!$D$5,'Parametre - Agendové IS'!AD77:AD85))</f>
        <v>-106980.99591314717</v>
      </c>
      <c r="AO21" s="461">
        <f>-('Parametre - Agendové IS'!AG76+NPV(Faktory!$D$5,'Parametre - Agendové IS'!AG77:AG85))</f>
        <v>-106980.99591314717</v>
      </c>
      <c r="AP21" s="461">
        <f>-('Parametre - Agendové IS'!AJ76+NPV(Faktory!$D$5,'Parametre - Agendové IS'!AJ77:AJ85))</f>
        <v>-106980.99591314717</v>
      </c>
      <c r="AQ21" s="461">
        <f>-('Parametre - Agendové IS'!AM76+NPV(Faktory!$D$5,'Parametre - Agendové IS'!AM77:AM85))</f>
        <v>-106980.99591314717</v>
      </c>
      <c r="AR21" s="461">
        <f>-('Parametre - Agendové IS'!AP76+NPV(Faktory!$D$5,'Parametre - Agendové IS'!AP77:AP85))</f>
        <v>-106980.99591314717</v>
      </c>
      <c r="AS21" s="461">
        <f>-('Parametre - Agendové IS'!AS76+NPV(Faktory!$D$5,'Parametre - Agendové IS'!AS77:AS85))</f>
        <v>-106980.99591314717</v>
      </c>
      <c r="AT21" s="461">
        <f>-('Parametre - Agendové IS'!AV76+NPV(Faktory!$D$5,'Parametre - Agendové IS'!AV77:AV85))</f>
        <v>-106980.99591314717</v>
      </c>
      <c r="AU21" s="461">
        <f>-('Parametre - Agendové IS'!AY76+NPV(Faktory!$D$5,'Parametre - Agendové IS'!AY77:AY85))</f>
        <v>-106980.99591314717</v>
      </c>
      <c r="AV21" s="461">
        <f>-('Parametre - Agendové IS'!BB76+NPV(Faktory!$D$5,'Parametre - Agendové IS'!BB77:BB85))</f>
        <v>-106980.99591314717</v>
      </c>
      <c r="AW21" s="461">
        <f>-('Parametre - Agendové IS'!BE76+NPV(Faktory!$D$5,'Parametre - Agendové IS'!BE77:BE85))</f>
        <v>-106980.99591314717</v>
      </c>
      <c r="AX21" s="461">
        <f>-('Parametre - Agendové IS'!BH76+NPV(Faktory!$D$5,'Parametre - Agendové IS'!BH77:BH85))</f>
        <v>-106980.99591314717</v>
      </c>
      <c r="AY21" s="461">
        <f>-('Parametre - Agendové IS'!BK76+NPV(Faktory!$D$5,'Parametre - Agendové IS'!BK77:BK85))</f>
        <v>-106980.99591314717</v>
      </c>
      <c r="AZ21" s="461">
        <f>-('Parametre - Agendové IS'!BN76+NPV(Faktory!$D$5,'Parametre - Agendové IS'!BN77:BN85))</f>
        <v>-106980.99591314717</v>
      </c>
      <c r="BA21" s="461">
        <f>-('Parametre - Agendové IS'!BQ76+NPV(Faktory!$D$5,'Parametre - Agendové IS'!BQ77:BQ85))</f>
        <v>0</v>
      </c>
    </row>
    <row r="22" spans="1:53">
      <c r="A22" s="449"/>
      <c r="B22" s="449"/>
      <c r="C22" s="450" t="s">
        <v>164</v>
      </c>
      <c r="D22" s="464" t="s">
        <v>167</v>
      </c>
      <c r="E22" s="464" t="s">
        <v>167</v>
      </c>
      <c r="F22" s="464" t="s">
        <v>167</v>
      </c>
      <c r="G22" s="464" t="s">
        <v>167</v>
      </c>
      <c r="H22" s="464" t="s">
        <v>167</v>
      </c>
      <c r="I22" s="464" t="s">
        <v>167</v>
      </c>
      <c r="J22" s="464" t="s">
        <v>167</v>
      </c>
      <c r="K22" s="464" t="s">
        <v>167</v>
      </c>
      <c r="L22" s="464" t="s">
        <v>167</v>
      </c>
      <c r="M22" s="464" t="s">
        <v>167</v>
      </c>
      <c r="N22" s="464" t="s">
        <v>167</v>
      </c>
      <c r="O22" s="464" t="s">
        <v>167</v>
      </c>
      <c r="P22" s="464" t="s">
        <v>167</v>
      </c>
      <c r="Q22" s="464" t="s">
        <v>167</v>
      </c>
      <c r="R22" s="464" t="s">
        <v>167</v>
      </c>
      <c r="S22" s="464" t="s">
        <v>167</v>
      </c>
      <c r="T22" s="464" t="s">
        <v>167</v>
      </c>
      <c r="U22" s="464" t="s">
        <v>167</v>
      </c>
      <c r="V22" s="464" t="s">
        <v>167</v>
      </c>
      <c r="W22" s="464" t="s">
        <v>167</v>
      </c>
      <c r="X22" s="464" t="s">
        <v>167</v>
      </c>
      <c r="Y22" s="464" t="s">
        <v>167</v>
      </c>
      <c r="AC22" s="449"/>
      <c r="AD22" s="449"/>
      <c r="AE22" s="450" t="s">
        <v>164</v>
      </c>
      <c r="AF22" s="464" t="s">
        <v>167</v>
      </c>
      <c r="AG22" s="464" t="s">
        <v>167</v>
      </c>
      <c r="AH22" s="464" t="s">
        <v>167</v>
      </c>
      <c r="AI22" s="464" t="s">
        <v>167</v>
      </c>
      <c r="AJ22" s="464" t="s">
        <v>167</v>
      </c>
      <c r="AK22" s="464" t="s">
        <v>167</v>
      </c>
      <c r="AL22" s="464" t="s">
        <v>167</v>
      </c>
      <c r="AM22" s="464" t="s">
        <v>167</v>
      </c>
      <c r="AN22" s="464" t="s">
        <v>167</v>
      </c>
      <c r="AO22" s="464" t="s">
        <v>167</v>
      </c>
      <c r="AP22" s="464" t="s">
        <v>167</v>
      </c>
      <c r="AQ22" s="464" t="s">
        <v>167</v>
      </c>
      <c r="AR22" s="464" t="s">
        <v>167</v>
      </c>
      <c r="AS22" s="464" t="s">
        <v>167</v>
      </c>
      <c r="AT22" s="464" t="s">
        <v>167</v>
      </c>
      <c r="AU22" s="464" t="s">
        <v>167</v>
      </c>
      <c r="AV22" s="464" t="s">
        <v>167</v>
      </c>
      <c r="AW22" s="464" t="s">
        <v>167</v>
      </c>
      <c r="AX22" s="464" t="s">
        <v>167</v>
      </c>
      <c r="AY22" s="464" t="s">
        <v>167</v>
      </c>
      <c r="AZ22" s="464" t="s">
        <v>167</v>
      </c>
      <c r="BA22" s="464" t="s">
        <v>167</v>
      </c>
    </row>
    <row r="23" spans="1:53">
      <c r="A23" s="449"/>
      <c r="B23" s="449"/>
      <c r="C23" s="450" t="s">
        <v>39</v>
      </c>
      <c r="D23" s="466">
        <f>SUM(E23:X23)</f>
        <v>0</v>
      </c>
      <c r="E23" s="466">
        <f>SUM('Parametre - Agendové IS'!I126:I135)</f>
        <v>0</v>
      </c>
      <c r="F23" s="466">
        <f>SUM('Parametre - Agendové IS'!L126:L135)</f>
        <v>0</v>
      </c>
      <c r="G23" s="466">
        <f>SUM('Parametre - Agendové IS'!O126:O135)</f>
        <v>0</v>
      </c>
      <c r="H23" s="466">
        <f>SUM('Parametre - Agendové IS'!R126:R135)</f>
        <v>0</v>
      </c>
      <c r="I23" s="466">
        <f>SUM('Parametre - Agendové IS'!U126:U135)</f>
        <v>0</v>
      </c>
      <c r="J23" s="466">
        <f>SUM('Parametre - Agendové IS'!X126:X135)</f>
        <v>0</v>
      </c>
      <c r="K23" s="466">
        <f>SUM('Parametre - Agendové IS'!AA126:AA135)</f>
        <v>0</v>
      </c>
      <c r="L23" s="466">
        <f>SUM('Parametre - Agendové IS'!AD126:AD135)</f>
        <v>0</v>
      </c>
      <c r="M23" s="466">
        <f>SUM('Parametre - Agendové IS'!AG126:AG135)</f>
        <v>0</v>
      </c>
      <c r="N23" s="466">
        <f>SUM('Parametre - Agendové IS'!AJ126:AJ135)</f>
        <v>0</v>
      </c>
      <c r="O23" s="466">
        <f>SUM('Parametre - Agendové IS'!AM126:AM135)</f>
        <v>0</v>
      </c>
      <c r="P23" s="466">
        <f>SUM('Parametre - Agendové IS'!AP126:AP135)</f>
        <v>0</v>
      </c>
      <c r="Q23" s="466">
        <f>SUM('Parametre - Agendové IS'!AS126:AS135)</f>
        <v>0</v>
      </c>
      <c r="R23" s="466">
        <f>SUM('Parametre - Agendové IS'!AV126:AV135)</f>
        <v>0</v>
      </c>
      <c r="S23" s="466">
        <f>SUM('Parametre - Agendové IS'!AY126:AY135)</f>
        <v>0</v>
      </c>
      <c r="T23" s="466">
        <f>SUM('Parametre - Agendové IS'!BB126:BB135)</f>
        <v>0</v>
      </c>
      <c r="U23" s="466">
        <f>SUM('Parametre - Agendové IS'!BE126:BE135)</f>
        <v>0</v>
      </c>
      <c r="V23" s="466">
        <f>SUM('Parametre - Agendové IS'!BH126:BH135)</f>
        <v>0</v>
      </c>
      <c r="W23" s="466">
        <f>SUM('Parametre - Agendové IS'!BK126:BK135)</f>
        <v>0</v>
      </c>
      <c r="X23" s="466">
        <f>SUM('Parametre - Agendové IS'!BN126:BN135)</f>
        <v>0</v>
      </c>
      <c r="Y23" s="466">
        <f>SUM('Parametre - Agendové IS'!BQ126:BQ135)</f>
        <v>0</v>
      </c>
      <c r="AC23" s="449"/>
      <c r="AD23" s="449"/>
      <c r="AE23" s="450" t="s">
        <v>39</v>
      </c>
      <c r="AF23" s="461">
        <f>SUM(AG23:AZ23)</f>
        <v>0</v>
      </c>
      <c r="AG23" s="461">
        <f>'Parametre - Agendové IS'!I126+NPV(Faktory!$D$5,'Parametre - Agendové IS'!I127:I135)</f>
        <v>0</v>
      </c>
      <c r="AH23" s="461">
        <f>'Parametre - Agendové IS'!L126+NPV(Faktory!$D$5,'Parametre - Agendové IS'!L127:L135)</f>
        <v>0</v>
      </c>
      <c r="AI23" s="461">
        <f>'Parametre - Agendové IS'!O126+NPV(Faktory!$D$5,'Parametre - Agendové IS'!O127:O135)</f>
        <v>0</v>
      </c>
      <c r="AJ23" s="461">
        <f>'Parametre - Agendové IS'!R126+NPV(Faktory!$D$5,'Parametre - Agendové IS'!R127:R135)</f>
        <v>0</v>
      </c>
      <c r="AK23" s="461">
        <f>'Parametre - Agendové IS'!U126+NPV(Faktory!$D$5,'Parametre - Agendové IS'!U127:U135)</f>
        <v>0</v>
      </c>
      <c r="AL23" s="461">
        <f>'Parametre - Agendové IS'!X126+NPV(Faktory!$D$5,'Parametre - Agendové IS'!X127:X135)</f>
        <v>0</v>
      </c>
      <c r="AM23" s="461">
        <f>'Parametre - Agendové IS'!AA126+NPV(Faktory!$D$5,'Parametre - Agendové IS'!AA127:AA135)</f>
        <v>0</v>
      </c>
      <c r="AN23" s="461">
        <f>'Parametre - Agendové IS'!AD126+NPV(Faktory!$D$5,'Parametre - Agendové IS'!AD127:AD135)</f>
        <v>0</v>
      </c>
      <c r="AO23" s="461">
        <f>'Parametre - Agendové IS'!AG126+NPV(Faktory!$D$5,'Parametre - Agendové IS'!AG127:AG135)</f>
        <v>0</v>
      </c>
      <c r="AP23" s="461">
        <f>'Parametre - Agendové IS'!AJ126+NPV(Faktory!$D$5,'Parametre - Agendové IS'!AJ127:AJ135)</f>
        <v>0</v>
      </c>
      <c r="AQ23" s="461">
        <f>'Parametre - Agendové IS'!AM126+NPV(Faktory!$D$5,'Parametre - Agendové IS'!AM127:AM135)</f>
        <v>0</v>
      </c>
      <c r="AR23" s="461">
        <f>'Parametre - Agendové IS'!AP126+NPV(Faktory!$D$5,'Parametre - Agendové IS'!AP127:AP135)</f>
        <v>0</v>
      </c>
      <c r="AS23" s="461">
        <f>'Parametre - Agendové IS'!AS126+NPV(Faktory!$D$5,'Parametre - Agendové IS'!AS127:AS135)</f>
        <v>0</v>
      </c>
      <c r="AT23" s="461">
        <f>'Parametre - Agendové IS'!AV126+NPV(Faktory!$D$5,'Parametre - Agendové IS'!AV127:AV135)</f>
        <v>0</v>
      </c>
      <c r="AU23" s="461">
        <f>'Parametre - Agendové IS'!AY126+NPV(Faktory!$D$5,'Parametre - Agendové IS'!AY127:AY135)</f>
        <v>0</v>
      </c>
      <c r="AV23" s="461">
        <f>'Parametre - Agendové IS'!BB126+NPV(Faktory!$D$5,'Parametre - Agendové IS'!BB127:BB135)</f>
        <v>0</v>
      </c>
      <c r="AW23" s="461">
        <f>'Parametre - Agendové IS'!BE126+NPV(Faktory!$D$5,'Parametre - Agendové IS'!BE127:BE135)</f>
        <v>0</v>
      </c>
      <c r="AX23" s="461">
        <f>'Parametre - Agendové IS'!BH126+NPV(Faktory!$D$5,'Parametre - Agendové IS'!BH127:BH135)</f>
        <v>0</v>
      </c>
      <c r="AY23" s="461">
        <f>'Parametre - Agendové IS'!BK126+NPV(Faktory!$D$5,'Parametre - Agendové IS'!BK127:BK135)</f>
        <v>0</v>
      </c>
      <c r="AZ23" s="461">
        <f>'Parametre - Agendové IS'!BN126+NPV(Faktory!$D$5,'Parametre - Agendové IS'!BN127:BN135)</f>
        <v>0</v>
      </c>
      <c r="BA23" s="461">
        <f>'Parametre - Agendové IS'!BQ126+NPV(Faktory!$D$5,'Parametre - Agendové IS'!BQ127:BQ135)</f>
        <v>0</v>
      </c>
    </row>
    <row r="24" spans="1:53">
      <c r="A24" s="446"/>
      <c r="B24" s="447" t="s">
        <v>168</v>
      </c>
      <c r="C24" s="447"/>
      <c r="D24" s="453"/>
      <c r="E24" s="459"/>
      <c r="F24" s="460"/>
      <c r="G24" s="460"/>
      <c r="H24" s="460"/>
      <c r="I24" s="460"/>
      <c r="J24" s="459"/>
      <c r="K24" s="460"/>
      <c r="L24" s="460"/>
      <c r="M24" s="460"/>
      <c r="N24" s="459"/>
      <c r="O24" s="460"/>
      <c r="P24" s="460"/>
      <c r="Q24" s="460"/>
      <c r="R24" s="459"/>
      <c r="S24" s="460"/>
      <c r="T24" s="460"/>
      <c r="U24" s="460"/>
      <c r="V24" s="459"/>
      <c r="W24" s="460"/>
      <c r="X24" s="460"/>
      <c r="Y24" s="460"/>
      <c r="AC24" s="446"/>
      <c r="AD24" s="447" t="s">
        <v>168</v>
      </c>
      <c r="AE24" s="447"/>
      <c r="AF24" s="453"/>
      <c r="AG24" s="454"/>
      <c r="AH24" s="454"/>
      <c r="AI24" s="454"/>
      <c r="AJ24" s="454"/>
      <c r="AK24" s="453"/>
      <c r="AL24" s="454"/>
      <c r="AM24" s="454"/>
      <c r="AN24" s="454"/>
      <c r="AO24" s="453"/>
      <c r="AP24" s="454"/>
      <c r="AQ24" s="454"/>
      <c r="AR24" s="454"/>
      <c r="AS24" s="453"/>
      <c r="AT24" s="454"/>
      <c r="AU24" s="454"/>
      <c r="AV24" s="454"/>
      <c r="AW24" s="453"/>
      <c r="AX24" s="454"/>
      <c r="AY24" s="454"/>
      <c r="AZ24" s="454"/>
      <c r="BA24" s="453"/>
    </row>
    <row r="25" spans="1:53">
      <c r="A25" s="455"/>
      <c r="B25" s="455"/>
      <c r="C25" s="526" t="s">
        <v>170</v>
      </c>
      <c r="D25" s="456"/>
      <c r="E25" s="455"/>
      <c r="F25" s="455"/>
      <c r="G25" s="455"/>
      <c r="H25" s="455"/>
      <c r="I25" s="455"/>
      <c r="J25" s="455"/>
      <c r="K25" s="455"/>
      <c r="L25" s="455"/>
      <c r="M25" s="455"/>
      <c r="N25" s="455"/>
      <c r="O25" s="455"/>
      <c r="P25" s="455"/>
      <c r="Q25" s="455"/>
      <c r="R25" s="455"/>
      <c r="S25" s="455"/>
      <c r="T25" s="455"/>
      <c r="U25" s="455"/>
      <c r="V25" s="455"/>
      <c r="W25" s="455"/>
      <c r="X25" s="455"/>
      <c r="Y25" s="455"/>
      <c r="AC25" s="455"/>
      <c r="AD25" s="455"/>
      <c r="AE25" s="526" t="s">
        <v>170</v>
      </c>
      <c r="AF25" s="456"/>
      <c r="AG25" s="456"/>
      <c r="AH25" s="456"/>
      <c r="AI25" s="456"/>
      <c r="AJ25" s="456"/>
      <c r="AK25" s="456"/>
      <c r="AL25" s="456"/>
      <c r="AM25" s="456"/>
      <c r="AN25" s="456"/>
      <c r="AO25" s="456"/>
      <c r="AP25" s="456"/>
      <c r="AQ25" s="456"/>
      <c r="AR25" s="456"/>
      <c r="AS25" s="456"/>
      <c r="AT25" s="456"/>
      <c r="AU25" s="456"/>
      <c r="AV25" s="456"/>
      <c r="AW25" s="456"/>
      <c r="AX25" s="456"/>
      <c r="AY25" s="456"/>
      <c r="AZ25" s="456"/>
      <c r="BA25" s="456"/>
    </row>
    <row r="26" spans="1:53">
      <c r="A26" s="455"/>
      <c r="B26" s="455"/>
      <c r="C26" s="526" t="s">
        <v>169</v>
      </c>
      <c r="D26" s="456"/>
      <c r="E26" s="455"/>
      <c r="F26" s="455"/>
      <c r="G26" s="455"/>
      <c r="H26" s="455"/>
      <c r="I26" s="455"/>
      <c r="J26" s="455"/>
      <c r="K26" s="455"/>
      <c r="L26" s="455"/>
      <c r="M26" s="455"/>
      <c r="N26" s="455"/>
      <c r="O26" s="455"/>
      <c r="P26" s="455"/>
      <c r="Q26" s="455"/>
      <c r="R26" s="455"/>
      <c r="S26" s="455"/>
      <c r="T26" s="455"/>
      <c r="U26" s="455"/>
      <c r="V26" s="455"/>
      <c r="W26" s="455"/>
      <c r="X26" s="455"/>
      <c r="Y26" s="455"/>
      <c r="AC26" s="455"/>
      <c r="AD26" s="455"/>
      <c r="AE26" s="526" t="s">
        <v>169</v>
      </c>
      <c r="AF26" s="456"/>
      <c r="AG26" s="456"/>
      <c r="AH26" s="456"/>
      <c r="AI26" s="456"/>
      <c r="AJ26" s="456"/>
      <c r="AK26" s="456"/>
      <c r="AL26" s="456"/>
      <c r="AM26" s="456"/>
      <c r="AN26" s="456"/>
      <c r="AO26" s="456"/>
      <c r="AP26" s="456"/>
      <c r="AQ26" s="456"/>
      <c r="AR26" s="456"/>
      <c r="AS26" s="456"/>
      <c r="AT26" s="456"/>
      <c r="AU26" s="456"/>
      <c r="AV26" s="456"/>
      <c r="AW26" s="456"/>
      <c r="AX26" s="456"/>
      <c r="AY26" s="456"/>
      <c r="AZ26" s="456"/>
      <c r="BA26" s="456"/>
    </row>
    <row r="27" spans="1:53">
      <c r="A27" s="455"/>
      <c r="B27" s="455"/>
      <c r="C27" s="526" t="s">
        <v>169</v>
      </c>
      <c r="D27" s="456"/>
      <c r="E27" s="455"/>
      <c r="F27" s="455"/>
      <c r="G27" s="455"/>
      <c r="H27" s="455"/>
      <c r="I27" s="455"/>
      <c r="J27" s="455"/>
      <c r="K27" s="455"/>
      <c r="L27" s="455"/>
      <c r="M27" s="455"/>
      <c r="N27" s="455"/>
      <c r="O27" s="455"/>
      <c r="P27" s="455"/>
      <c r="Q27" s="455"/>
      <c r="R27" s="455"/>
      <c r="S27" s="455"/>
      <c r="T27" s="455"/>
      <c r="U27" s="455"/>
      <c r="V27" s="455"/>
      <c r="W27" s="455"/>
      <c r="X27" s="455"/>
      <c r="Y27" s="455"/>
      <c r="AC27" s="455"/>
      <c r="AD27" s="455"/>
      <c r="AE27" s="526" t="s">
        <v>169</v>
      </c>
      <c r="AF27" s="456"/>
      <c r="AG27" s="456"/>
      <c r="AH27" s="456"/>
      <c r="AI27" s="456"/>
      <c r="AJ27" s="456"/>
      <c r="AK27" s="456"/>
      <c r="AL27" s="456"/>
      <c r="AM27" s="456"/>
      <c r="AN27" s="456"/>
      <c r="AO27" s="456"/>
      <c r="AP27" s="456"/>
      <c r="AQ27" s="456"/>
      <c r="AR27" s="456"/>
      <c r="AS27" s="456"/>
      <c r="AT27" s="456"/>
      <c r="AU27" s="456"/>
      <c r="AV27" s="456"/>
      <c r="AW27" s="456"/>
      <c r="AX27" s="456"/>
      <c r="AY27" s="456"/>
      <c r="AZ27" s="456"/>
      <c r="BA27" s="456"/>
    </row>
  </sheetData>
  <sheetProtection insertColumns="0" insertRows="0" deleteColumns="0" deleteRows="0"/>
  <mergeCells count="2">
    <mergeCell ref="A2:C2"/>
    <mergeCell ref="AC2:AE2"/>
  </mergeCells>
  <conditionalFormatting sqref="E2:Y2">
    <cfRule type="cellIs" dxfId="32" priority="1" operator="equal">
      <formula>0</formula>
    </cfRule>
  </conditionalFormatting>
  <conditionalFormatting sqref="AG2:BA2">
    <cfRule type="cellIs" dxfId="31" priority="3" operator="equal">
      <formula>0</formula>
    </cfRule>
  </conditionalFormatting>
  <pageMargins left="0.7" right="0.7" top="0.75" bottom="0.75" header="0.3" footer="0.3"/>
  <pageSetup paperSize="9" scale="53"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20"/>
  <dimension ref="A1:AC70"/>
  <sheetViews>
    <sheetView view="pageBreakPreview" zoomScale="60" zoomScaleNormal="80" workbookViewId="0">
      <selection activeCell="C39" sqref="C39"/>
    </sheetView>
  </sheetViews>
  <sheetFormatPr defaultColWidth="8.85546875" defaultRowHeight="15"/>
  <cols>
    <col min="1" max="1" width="21.42578125" customWidth="1"/>
    <col min="2" max="2" width="14.42578125" customWidth="1"/>
    <col min="3" max="3" width="14.28515625" style="197" customWidth="1"/>
    <col min="4" max="4" width="14.140625" style="197" customWidth="1"/>
    <col min="5" max="5" width="14.85546875" style="197" customWidth="1"/>
    <col min="6" max="6" width="11.85546875" style="197" customWidth="1"/>
    <col min="7" max="7" width="15.85546875" style="197" customWidth="1"/>
    <col min="8" max="8" width="13.42578125" style="197" customWidth="1"/>
    <col min="9" max="9" width="10" style="197" customWidth="1"/>
    <col min="10" max="28" width="8.42578125" style="197" customWidth="1"/>
  </cols>
  <sheetData>
    <row r="1" spans="1:29" ht="15.75" thickBot="1"/>
    <row r="2" spans="1:29" ht="48.75" customHeight="1" thickBot="1">
      <c r="A2" s="200" t="s">
        <v>174</v>
      </c>
      <c r="B2" s="217" t="s">
        <v>175</v>
      </c>
      <c r="C2" s="215" t="s">
        <v>176</v>
      </c>
      <c r="D2" s="201" t="s">
        <v>177</v>
      </c>
      <c r="E2" s="201" t="s">
        <v>178</v>
      </c>
      <c r="F2" s="222" t="s">
        <v>169</v>
      </c>
      <c r="G2" s="217" t="s">
        <v>179</v>
      </c>
      <c r="H2" s="226" t="s">
        <v>176</v>
      </c>
      <c r="I2" s="202" t="s">
        <v>169</v>
      </c>
      <c r="O2" s="203"/>
      <c r="P2" s="204"/>
      <c r="Q2" s="204"/>
      <c r="R2" s="97"/>
      <c r="S2" s="97"/>
      <c r="T2" s="97"/>
      <c r="U2" s="97"/>
      <c r="V2" s="97"/>
      <c r="W2" s="97"/>
      <c r="X2" s="97"/>
      <c r="Y2" s="204"/>
      <c r="Z2" s="204"/>
      <c r="AA2" s="97"/>
      <c r="AB2" s="97"/>
      <c r="AC2" s="97"/>
    </row>
    <row r="3" spans="1:29">
      <c r="A3" s="205" t="s">
        <v>128</v>
      </c>
      <c r="B3" s="218"/>
      <c r="C3" s="216"/>
      <c r="D3" s="212"/>
      <c r="E3" s="212"/>
      <c r="F3" s="223"/>
      <c r="G3" s="227"/>
      <c r="H3" s="216"/>
      <c r="I3" s="212"/>
      <c r="O3" s="206"/>
      <c r="P3"/>
      <c r="AC3" s="197"/>
    </row>
    <row r="4" spans="1:29">
      <c r="A4" s="207" t="s">
        <v>180</v>
      </c>
      <c r="B4" s="219" t="s">
        <v>181</v>
      </c>
      <c r="C4" s="214"/>
      <c r="D4" s="213"/>
      <c r="E4" s="213"/>
      <c r="F4" s="224"/>
      <c r="G4" s="220"/>
      <c r="H4" s="214"/>
      <c r="I4" s="213"/>
      <c r="O4" s="206"/>
      <c r="P4" s="208"/>
      <c r="AC4" s="197"/>
    </row>
    <row r="5" spans="1:29" ht="15.75" customHeight="1">
      <c r="A5" s="209" t="s">
        <v>182</v>
      </c>
      <c r="B5" s="220"/>
      <c r="C5" s="214"/>
      <c r="D5" s="213"/>
      <c r="E5" s="213"/>
      <c r="F5" s="224"/>
      <c r="G5" s="220"/>
      <c r="H5" s="214"/>
      <c r="I5" s="213"/>
      <c r="O5" s="206"/>
      <c r="AC5" s="197"/>
    </row>
    <row r="6" spans="1:29">
      <c r="A6" s="209" t="s">
        <v>183</v>
      </c>
      <c r="B6" s="220"/>
      <c r="C6" s="214"/>
      <c r="D6" s="213"/>
      <c r="E6" s="213"/>
      <c r="F6" s="224"/>
      <c r="G6" s="220"/>
      <c r="H6" s="214"/>
      <c r="I6" s="213"/>
      <c r="O6" s="206"/>
      <c r="AC6" s="197"/>
    </row>
    <row r="7" spans="1:29">
      <c r="A7" s="209" t="s">
        <v>184</v>
      </c>
      <c r="B7" s="220"/>
      <c r="C7" s="214"/>
      <c r="D7" s="213"/>
      <c r="E7" s="213"/>
      <c r="F7" s="224"/>
      <c r="G7" s="220"/>
      <c r="H7" s="214"/>
      <c r="I7" s="213"/>
      <c r="O7" s="206"/>
      <c r="AC7" s="197"/>
    </row>
    <row r="8" spans="1:29">
      <c r="A8" s="209" t="s">
        <v>185</v>
      </c>
      <c r="B8" s="220"/>
      <c r="C8" s="214"/>
      <c r="D8" s="213"/>
      <c r="E8" s="213"/>
      <c r="F8" s="224"/>
      <c r="G8" s="220"/>
      <c r="H8" s="214"/>
      <c r="I8" s="213"/>
      <c r="O8" s="206"/>
      <c r="AC8" s="197"/>
    </row>
    <row r="9" spans="1:29">
      <c r="A9" s="209" t="s">
        <v>186</v>
      </c>
      <c r="B9" s="220"/>
      <c r="C9" s="214"/>
      <c r="D9" s="213"/>
      <c r="E9" s="213"/>
      <c r="F9" s="224"/>
      <c r="G9" s="220"/>
      <c r="H9" s="214"/>
      <c r="I9" s="213"/>
      <c r="O9" s="206"/>
      <c r="AC9" s="197"/>
    </row>
    <row r="10" spans="1:29">
      <c r="A10" s="209" t="s">
        <v>187</v>
      </c>
      <c r="B10" s="220"/>
      <c r="C10" s="214"/>
      <c r="D10" s="213"/>
      <c r="E10" s="213"/>
      <c r="F10" s="224"/>
      <c r="G10" s="220"/>
      <c r="H10" s="214"/>
      <c r="I10" s="213"/>
      <c r="O10" s="206"/>
      <c r="AC10" s="197"/>
    </row>
    <row r="11" spans="1:29">
      <c r="A11" s="209" t="s">
        <v>188</v>
      </c>
      <c r="B11" s="220"/>
      <c r="C11" s="214"/>
      <c r="D11" s="213"/>
      <c r="E11" s="213"/>
      <c r="F11" s="224"/>
      <c r="G11" s="220"/>
      <c r="H11" s="214"/>
      <c r="I11" s="213"/>
      <c r="O11" s="206"/>
      <c r="AC11" s="197"/>
    </row>
    <row r="12" spans="1:29">
      <c r="A12" s="209" t="s">
        <v>189</v>
      </c>
      <c r="B12" s="220"/>
      <c r="C12" s="214"/>
      <c r="D12" s="213"/>
      <c r="E12" s="213"/>
      <c r="F12" s="224"/>
      <c r="G12" s="220"/>
      <c r="H12" s="214"/>
      <c r="I12" s="213"/>
      <c r="O12" s="206"/>
      <c r="AC12" s="197"/>
    </row>
    <row r="13" spans="1:29">
      <c r="A13" s="209" t="s">
        <v>190</v>
      </c>
      <c r="B13" s="220"/>
      <c r="C13" s="214"/>
      <c r="D13" s="213"/>
      <c r="E13" s="213"/>
      <c r="F13" s="224"/>
      <c r="G13" s="220"/>
      <c r="H13" s="214"/>
      <c r="I13" s="213"/>
      <c r="O13" s="206"/>
      <c r="AC13" s="197"/>
    </row>
    <row r="14" spans="1:29">
      <c r="A14" s="209" t="s">
        <v>191</v>
      </c>
      <c r="B14" s="220"/>
      <c r="C14" s="214"/>
      <c r="D14" s="213"/>
      <c r="E14" s="213"/>
      <c r="F14" s="224"/>
      <c r="G14" s="220"/>
      <c r="H14" s="214"/>
      <c r="I14" s="213"/>
      <c r="O14" s="206"/>
      <c r="AC14" s="197"/>
    </row>
    <row r="15" spans="1:29">
      <c r="A15" s="209" t="s">
        <v>192</v>
      </c>
      <c r="B15" s="220"/>
      <c r="C15" s="214"/>
      <c r="D15" s="213"/>
      <c r="E15" s="213"/>
      <c r="F15" s="224"/>
      <c r="G15" s="220"/>
      <c r="H15" s="214"/>
      <c r="I15" s="213"/>
      <c r="O15" s="206"/>
      <c r="AC15" s="197"/>
    </row>
    <row r="16" spans="1:29">
      <c r="A16" s="209" t="s">
        <v>193</v>
      </c>
      <c r="B16" s="220"/>
      <c r="C16" s="214"/>
      <c r="D16" s="213"/>
      <c r="E16" s="213"/>
      <c r="F16" s="224"/>
      <c r="G16" s="220"/>
      <c r="H16" s="214"/>
      <c r="I16" s="213"/>
      <c r="O16" s="206"/>
      <c r="AC16" s="197"/>
    </row>
    <row r="17" spans="1:29">
      <c r="A17" s="209" t="s">
        <v>194</v>
      </c>
      <c r="B17" s="220"/>
      <c r="C17" s="214"/>
      <c r="D17" s="213"/>
      <c r="E17" s="213"/>
      <c r="F17" s="224"/>
      <c r="G17" s="220"/>
      <c r="H17" s="214"/>
      <c r="I17" s="213"/>
      <c r="O17" s="206"/>
      <c r="AC17" s="197"/>
    </row>
    <row r="18" spans="1:29">
      <c r="A18" s="209" t="s">
        <v>195</v>
      </c>
      <c r="B18" s="220"/>
      <c r="C18" s="214"/>
      <c r="D18" s="213"/>
      <c r="E18" s="213"/>
      <c r="F18" s="224"/>
      <c r="G18" s="220"/>
      <c r="H18" s="214"/>
      <c r="I18" s="213"/>
      <c r="O18" s="206"/>
      <c r="AC18" s="197"/>
    </row>
    <row r="19" spans="1:29">
      <c r="A19" s="209" t="s">
        <v>196</v>
      </c>
      <c r="B19" s="220"/>
      <c r="C19" s="214"/>
      <c r="D19" s="213"/>
      <c r="E19" s="213"/>
      <c r="F19" s="224"/>
      <c r="G19" s="220"/>
      <c r="H19" s="214"/>
      <c r="I19" s="213"/>
      <c r="O19" s="206"/>
      <c r="AC19" s="197"/>
    </row>
    <row r="20" spans="1:29">
      <c r="A20" s="209" t="s">
        <v>197</v>
      </c>
      <c r="B20" s="220"/>
      <c r="C20" s="214"/>
      <c r="D20" s="213"/>
      <c r="E20" s="213"/>
      <c r="F20" s="224"/>
      <c r="G20" s="220"/>
      <c r="H20" s="214"/>
      <c r="I20" s="213"/>
      <c r="O20" s="206"/>
      <c r="AC20" s="197"/>
    </row>
    <row r="21" spans="1:29">
      <c r="A21" s="209" t="s">
        <v>198</v>
      </c>
      <c r="B21" s="220"/>
      <c r="C21" s="214"/>
      <c r="D21" s="213"/>
      <c r="E21" s="213"/>
      <c r="F21" s="224"/>
      <c r="G21" s="220"/>
      <c r="H21" s="214"/>
      <c r="I21" s="213"/>
      <c r="O21" s="206"/>
      <c r="AC21" s="197"/>
    </row>
    <row r="22" spans="1:29">
      <c r="A22" s="209" t="s">
        <v>199</v>
      </c>
      <c r="B22" s="220"/>
      <c r="C22" s="214"/>
      <c r="D22" s="213"/>
      <c r="E22" s="213"/>
      <c r="F22" s="224"/>
      <c r="G22" s="220"/>
      <c r="H22" s="214"/>
      <c r="I22" s="213"/>
      <c r="O22" s="206"/>
      <c r="AC22" s="197"/>
    </row>
    <row r="23" spans="1:29">
      <c r="A23" s="209" t="s">
        <v>200</v>
      </c>
      <c r="B23" s="220"/>
      <c r="C23" s="214"/>
      <c r="D23" s="213"/>
      <c r="E23" s="213"/>
      <c r="F23" s="224"/>
      <c r="G23" s="220"/>
      <c r="H23" s="214"/>
      <c r="I23" s="213"/>
      <c r="O23" s="206"/>
      <c r="AC23" s="197"/>
    </row>
    <row r="24" spans="1:29">
      <c r="A24" s="209" t="s">
        <v>201</v>
      </c>
      <c r="B24" s="220"/>
      <c r="C24" s="214"/>
      <c r="D24" s="213"/>
      <c r="E24" s="213"/>
      <c r="F24" s="224"/>
      <c r="G24" s="220"/>
      <c r="H24" s="214"/>
      <c r="I24" s="213"/>
      <c r="O24" s="206"/>
      <c r="AC24" s="197"/>
    </row>
    <row r="25" spans="1:29">
      <c r="A25" s="209" t="s">
        <v>202</v>
      </c>
      <c r="B25" s="220"/>
      <c r="C25" s="214"/>
      <c r="D25" s="213"/>
      <c r="E25" s="213"/>
      <c r="F25" s="224"/>
      <c r="G25" s="220"/>
      <c r="H25" s="214"/>
      <c r="I25" s="213"/>
      <c r="O25" s="206"/>
      <c r="AC25" s="197"/>
    </row>
    <row r="26" spans="1:29">
      <c r="A26" s="209" t="s">
        <v>203</v>
      </c>
      <c r="B26" s="220"/>
      <c r="C26" s="214"/>
      <c r="D26" s="213"/>
      <c r="E26" s="213"/>
      <c r="F26" s="224"/>
      <c r="G26" s="220"/>
      <c r="H26" s="214"/>
      <c r="I26" s="213"/>
      <c r="O26" s="206"/>
      <c r="AC26" s="197"/>
    </row>
    <row r="27" spans="1:29">
      <c r="A27" s="209" t="s">
        <v>204</v>
      </c>
      <c r="B27" s="220"/>
      <c r="C27" s="214"/>
      <c r="D27" s="213"/>
      <c r="E27" s="213"/>
      <c r="F27" s="224"/>
      <c r="G27" s="220"/>
      <c r="H27" s="214"/>
      <c r="I27" s="213"/>
      <c r="O27" s="206"/>
      <c r="AC27" s="197"/>
    </row>
    <row r="28" spans="1:29">
      <c r="A28" s="209" t="s">
        <v>205</v>
      </c>
      <c r="B28" s="220"/>
      <c r="C28" s="214"/>
      <c r="D28" s="213"/>
      <c r="E28" s="213"/>
      <c r="F28" s="224"/>
      <c r="G28" s="220"/>
      <c r="H28" s="214"/>
      <c r="I28" s="213"/>
      <c r="O28" s="206"/>
      <c r="AC28" s="197"/>
    </row>
    <row r="29" spans="1:29">
      <c r="A29" s="209" t="s">
        <v>206</v>
      </c>
      <c r="B29" s="220"/>
      <c r="C29" s="214"/>
      <c r="D29" s="213"/>
      <c r="E29" s="213"/>
      <c r="F29" s="224"/>
      <c r="G29" s="220"/>
      <c r="H29" s="214"/>
      <c r="I29" s="213"/>
      <c r="O29" s="206"/>
      <c r="AC29" s="197"/>
    </row>
    <row r="30" spans="1:29">
      <c r="A30" s="209" t="s">
        <v>207</v>
      </c>
      <c r="B30" s="220"/>
      <c r="C30" s="214"/>
      <c r="D30" s="213"/>
      <c r="E30" s="213"/>
      <c r="F30" s="224"/>
      <c r="G30" s="220"/>
      <c r="H30" s="214"/>
      <c r="I30" s="213"/>
      <c r="O30" s="206"/>
      <c r="AC30" s="197"/>
    </row>
    <row r="31" spans="1:29">
      <c r="A31" s="209" t="s">
        <v>208</v>
      </c>
      <c r="B31" s="220"/>
      <c r="C31" s="214"/>
      <c r="D31" s="213"/>
      <c r="E31" s="213"/>
      <c r="F31" s="224"/>
      <c r="G31" s="220"/>
      <c r="H31" s="214"/>
      <c r="I31" s="213"/>
      <c r="O31" s="206"/>
      <c r="AC31" s="197"/>
    </row>
    <row r="32" spans="1:29">
      <c r="A32" s="209" t="s">
        <v>209</v>
      </c>
      <c r="B32" s="220"/>
      <c r="C32" s="214"/>
      <c r="D32" s="213"/>
      <c r="E32" s="213"/>
      <c r="F32" s="224"/>
      <c r="G32" s="220"/>
      <c r="H32" s="214"/>
      <c r="I32" s="213"/>
      <c r="O32" s="206"/>
      <c r="AC32" s="197"/>
    </row>
    <row r="33" spans="1:29">
      <c r="A33" s="209" t="s">
        <v>210</v>
      </c>
      <c r="B33" s="220"/>
      <c r="C33" s="214"/>
      <c r="D33" s="213"/>
      <c r="E33" s="213"/>
      <c r="F33" s="224"/>
      <c r="G33" s="220"/>
      <c r="H33" s="214"/>
      <c r="I33" s="213"/>
      <c r="O33" s="206"/>
      <c r="AC33" s="197"/>
    </row>
    <row r="34" spans="1:29" ht="15.75" thickBot="1">
      <c r="A34" s="210" t="s">
        <v>211</v>
      </c>
      <c r="B34" s="221"/>
      <c r="C34" s="211"/>
      <c r="D34" s="194"/>
      <c r="E34" s="194"/>
      <c r="F34" s="225"/>
      <c r="G34" s="221"/>
      <c r="H34" s="211"/>
      <c r="I34" s="194"/>
      <c r="O34" s="206"/>
      <c r="P34"/>
      <c r="Q34"/>
      <c r="R34"/>
      <c r="S34"/>
      <c r="T34"/>
      <c r="U34"/>
      <c r="V34"/>
      <c r="W34"/>
      <c r="X34"/>
      <c r="Y34"/>
      <c r="Z34"/>
      <c r="AA34"/>
      <c r="AB34"/>
    </row>
    <row r="37" spans="1:29" ht="15.75" thickBot="1"/>
    <row r="38" spans="1:29" ht="45.75" thickBot="1">
      <c r="A38" s="200" t="s">
        <v>212</v>
      </c>
      <c r="B38" s="217" t="s">
        <v>175</v>
      </c>
      <c r="C38" s="215" t="s">
        <v>176</v>
      </c>
      <c r="D38" s="201" t="s">
        <v>177</v>
      </c>
      <c r="E38" s="201" t="s">
        <v>178</v>
      </c>
      <c r="F38" s="222" t="s">
        <v>169</v>
      </c>
      <c r="G38" s="217" t="s">
        <v>179</v>
      </c>
      <c r="H38" s="226" t="s">
        <v>176</v>
      </c>
      <c r="I38" s="202" t="s">
        <v>169</v>
      </c>
    </row>
    <row r="39" spans="1:29">
      <c r="A39" s="205" t="s">
        <v>128</v>
      </c>
      <c r="B39" s="218"/>
      <c r="C39" s="216"/>
      <c r="D39" s="212"/>
      <c r="E39" s="212"/>
      <c r="F39" s="223"/>
      <c r="G39" s="227"/>
      <c r="H39" s="216"/>
      <c r="I39" s="212"/>
    </row>
    <row r="40" spans="1:29">
      <c r="A40" s="207" t="s">
        <v>180</v>
      </c>
      <c r="B40" s="219" t="s">
        <v>181</v>
      </c>
      <c r="C40" s="214"/>
      <c r="D40" s="213"/>
      <c r="E40" s="213"/>
      <c r="F40" s="224"/>
      <c r="G40" s="220"/>
      <c r="H40" s="214"/>
      <c r="I40" s="213"/>
    </row>
    <row r="41" spans="1:29">
      <c r="A41" s="209" t="s">
        <v>182</v>
      </c>
      <c r="B41" s="220"/>
      <c r="C41" s="214"/>
      <c r="D41" s="213"/>
      <c r="E41" s="213"/>
      <c r="F41" s="224"/>
      <c r="G41" s="220"/>
      <c r="H41" s="214"/>
      <c r="I41" s="213"/>
    </row>
    <row r="42" spans="1:29">
      <c r="A42" s="209" t="s">
        <v>183</v>
      </c>
      <c r="B42" s="220"/>
      <c r="C42" s="214"/>
      <c r="D42" s="213"/>
      <c r="E42" s="213"/>
      <c r="F42" s="224"/>
      <c r="G42" s="220"/>
      <c r="H42" s="214"/>
      <c r="I42" s="213"/>
    </row>
    <row r="43" spans="1:29">
      <c r="A43" s="209" t="s">
        <v>184</v>
      </c>
      <c r="B43" s="220"/>
      <c r="C43" s="214"/>
      <c r="D43" s="213"/>
      <c r="E43" s="213"/>
      <c r="F43" s="224"/>
      <c r="G43" s="220"/>
      <c r="H43" s="214"/>
      <c r="I43" s="213"/>
    </row>
    <row r="44" spans="1:29">
      <c r="A44" s="209" t="s">
        <v>185</v>
      </c>
      <c r="B44" s="220"/>
      <c r="C44" s="214"/>
      <c r="D44" s="213"/>
      <c r="E44" s="213"/>
      <c r="F44" s="224"/>
      <c r="G44" s="220"/>
      <c r="H44" s="214"/>
      <c r="I44" s="213"/>
    </row>
    <row r="45" spans="1:29">
      <c r="A45" s="209" t="s">
        <v>186</v>
      </c>
      <c r="B45" s="220"/>
      <c r="C45" s="214"/>
      <c r="D45" s="213"/>
      <c r="E45" s="213"/>
      <c r="F45" s="224"/>
      <c r="G45" s="220"/>
      <c r="H45" s="214"/>
      <c r="I45" s="213"/>
    </row>
    <row r="46" spans="1:29">
      <c r="A46" s="209" t="s">
        <v>187</v>
      </c>
      <c r="B46" s="220"/>
      <c r="C46" s="214"/>
      <c r="D46" s="213"/>
      <c r="E46" s="213"/>
      <c r="F46" s="224"/>
      <c r="G46" s="220"/>
      <c r="H46" s="214"/>
      <c r="I46" s="213"/>
    </row>
    <row r="47" spans="1:29">
      <c r="A47" s="209" t="s">
        <v>188</v>
      </c>
      <c r="B47" s="220"/>
      <c r="C47" s="214"/>
      <c r="D47" s="213"/>
      <c r="E47" s="213"/>
      <c r="F47" s="224"/>
      <c r="G47" s="220"/>
      <c r="H47" s="214"/>
      <c r="I47" s="213"/>
    </row>
    <row r="48" spans="1:29">
      <c r="A48" s="209" t="s">
        <v>189</v>
      </c>
      <c r="B48" s="220"/>
      <c r="C48" s="214"/>
      <c r="D48" s="213"/>
      <c r="E48" s="213"/>
      <c r="F48" s="224"/>
      <c r="G48" s="220"/>
      <c r="H48" s="214"/>
      <c r="I48" s="213"/>
    </row>
    <row r="49" spans="1:9">
      <c r="A49" s="209" t="s">
        <v>190</v>
      </c>
      <c r="B49" s="220"/>
      <c r="C49" s="214"/>
      <c r="D49" s="213"/>
      <c r="E49" s="213"/>
      <c r="F49" s="224"/>
      <c r="G49" s="220"/>
      <c r="H49" s="214"/>
      <c r="I49" s="213"/>
    </row>
    <row r="50" spans="1:9">
      <c r="A50" s="209" t="s">
        <v>191</v>
      </c>
      <c r="B50" s="220"/>
      <c r="C50" s="214"/>
      <c r="D50" s="213"/>
      <c r="E50" s="213"/>
      <c r="F50" s="224"/>
      <c r="G50" s="220"/>
      <c r="H50" s="214"/>
      <c r="I50" s="213"/>
    </row>
    <row r="51" spans="1:9">
      <c r="A51" s="209" t="s">
        <v>192</v>
      </c>
      <c r="B51" s="220"/>
      <c r="C51" s="214"/>
      <c r="D51" s="213"/>
      <c r="E51" s="213"/>
      <c r="F51" s="224"/>
      <c r="G51" s="220"/>
      <c r="H51" s="214"/>
      <c r="I51" s="213"/>
    </row>
    <row r="52" spans="1:9">
      <c r="A52" s="209" t="s">
        <v>193</v>
      </c>
      <c r="B52" s="220"/>
      <c r="C52" s="214"/>
      <c r="D52" s="213"/>
      <c r="E52" s="213"/>
      <c r="F52" s="224"/>
      <c r="G52" s="220"/>
      <c r="H52" s="214"/>
      <c r="I52" s="213"/>
    </row>
    <row r="53" spans="1:9">
      <c r="A53" s="209" t="s">
        <v>194</v>
      </c>
      <c r="B53" s="220"/>
      <c r="C53" s="214"/>
      <c r="D53" s="213"/>
      <c r="E53" s="213"/>
      <c r="F53" s="224"/>
      <c r="G53" s="220"/>
      <c r="H53" s="214"/>
      <c r="I53" s="213"/>
    </row>
    <row r="54" spans="1:9">
      <c r="A54" s="209" t="s">
        <v>195</v>
      </c>
      <c r="B54" s="220"/>
      <c r="C54" s="214"/>
      <c r="D54" s="213"/>
      <c r="E54" s="213"/>
      <c r="F54" s="224"/>
      <c r="G54" s="220"/>
      <c r="H54" s="214"/>
      <c r="I54" s="213"/>
    </row>
    <row r="55" spans="1:9">
      <c r="A55" s="209" t="s">
        <v>196</v>
      </c>
      <c r="B55" s="220"/>
      <c r="C55" s="214"/>
      <c r="D55" s="213"/>
      <c r="E55" s="213"/>
      <c r="F55" s="224"/>
      <c r="G55" s="220"/>
      <c r="H55" s="214"/>
      <c r="I55" s="213"/>
    </row>
    <row r="56" spans="1:9">
      <c r="A56" s="209" t="s">
        <v>197</v>
      </c>
      <c r="B56" s="220"/>
      <c r="C56" s="214"/>
      <c r="D56" s="213"/>
      <c r="E56" s="213"/>
      <c r="F56" s="224"/>
      <c r="G56" s="220"/>
      <c r="H56" s="214"/>
      <c r="I56" s="213"/>
    </row>
    <row r="57" spans="1:9">
      <c r="A57" s="209" t="s">
        <v>198</v>
      </c>
      <c r="B57" s="220"/>
      <c r="C57" s="214"/>
      <c r="D57" s="213"/>
      <c r="E57" s="213"/>
      <c r="F57" s="224"/>
      <c r="G57" s="220"/>
      <c r="H57" s="214"/>
      <c r="I57" s="213"/>
    </row>
    <row r="58" spans="1:9">
      <c r="A58" s="209" t="s">
        <v>199</v>
      </c>
      <c r="B58" s="220"/>
      <c r="C58" s="214"/>
      <c r="D58" s="213"/>
      <c r="E58" s="213"/>
      <c r="F58" s="224"/>
      <c r="G58" s="220"/>
      <c r="H58" s="214"/>
      <c r="I58" s="213"/>
    </row>
    <row r="59" spans="1:9">
      <c r="A59" s="209" t="s">
        <v>200</v>
      </c>
      <c r="B59" s="220"/>
      <c r="C59" s="214"/>
      <c r="D59" s="213"/>
      <c r="E59" s="213"/>
      <c r="F59" s="224"/>
      <c r="G59" s="220"/>
      <c r="H59" s="214"/>
      <c r="I59" s="213"/>
    </row>
    <row r="60" spans="1:9">
      <c r="A60" s="209" t="s">
        <v>201</v>
      </c>
      <c r="B60" s="220"/>
      <c r="C60" s="214"/>
      <c r="D60" s="213"/>
      <c r="E60" s="213"/>
      <c r="F60" s="224"/>
      <c r="G60" s="220"/>
      <c r="H60" s="214"/>
      <c r="I60" s="213"/>
    </row>
    <row r="61" spans="1:9">
      <c r="A61" s="209" t="s">
        <v>202</v>
      </c>
      <c r="B61" s="220"/>
      <c r="C61" s="214"/>
      <c r="D61" s="213"/>
      <c r="E61" s="213"/>
      <c r="F61" s="224"/>
      <c r="G61" s="220"/>
      <c r="H61" s="214"/>
      <c r="I61" s="213"/>
    </row>
    <row r="62" spans="1:9">
      <c r="A62" s="209" t="s">
        <v>203</v>
      </c>
      <c r="B62" s="220"/>
      <c r="C62" s="214"/>
      <c r="D62" s="213"/>
      <c r="E62" s="213"/>
      <c r="F62" s="224"/>
      <c r="G62" s="220"/>
      <c r="H62" s="214"/>
      <c r="I62" s="213"/>
    </row>
    <row r="63" spans="1:9">
      <c r="A63" s="209" t="s">
        <v>204</v>
      </c>
      <c r="B63" s="220"/>
      <c r="C63" s="214"/>
      <c r="D63" s="213"/>
      <c r="E63" s="213"/>
      <c r="F63" s="224"/>
      <c r="G63" s="220"/>
      <c r="H63" s="214"/>
      <c r="I63" s="213"/>
    </row>
    <row r="64" spans="1:9">
      <c r="A64" s="209" t="s">
        <v>205</v>
      </c>
      <c r="B64" s="220"/>
      <c r="C64" s="214"/>
      <c r="D64" s="213"/>
      <c r="E64" s="213"/>
      <c r="F64" s="224"/>
      <c r="G64" s="220"/>
      <c r="H64" s="214"/>
      <c r="I64" s="213"/>
    </row>
    <row r="65" spans="1:9">
      <c r="A65" s="209" t="s">
        <v>206</v>
      </c>
      <c r="B65" s="220"/>
      <c r="C65" s="214"/>
      <c r="D65" s="213"/>
      <c r="E65" s="213"/>
      <c r="F65" s="224"/>
      <c r="G65" s="220"/>
      <c r="H65" s="214"/>
      <c r="I65" s="213"/>
    </row>
    <row r="66" spans="1:9">
      <c r="A66" s="209" t="s">
        <v>207</v>
      </c>
      <c r="B66" s="220"/>
      <c r="C66" s="214"/>
      <c r="D66" s="213"/>
      <c r="E66" s="213"/>
      <c r="F66" s="224"/>
      <c r="G66" s="220"/>
      <c r="H66" s="214"/>
      <c r="I66" s="213"/>
    </row>
    <row r="67" spans="1:9">
      <c r="A67" s="209" t="s">
        <v>208</v>
      </c>
      <c r="B67" s="220"/>
      <c r="C67" s="214"/>
      <c r="D67" s="213"/>
      <c r="E67" s="213"/>
      <c r="F67" s="224"/>
      <c r="G67" s="220"/>
      <c r="H67" s="214"/>
      <c r="I67" s="213"/>
    </row>
    <row r="68" spans="1:9">
      <c r="A68" s="209" t="s">
        <v>209</v>
      </c>
      <c r="B68" s="220"/>
      <c r="C68" s="214"/>
      <c r="D68" s="213"/>
      <c r="E68" s="213"/>
      <c r="F68" s="224"/>
      <c r="G68" s="220"/>
      <c r="H68" s="214"/>
      <c r="I68" s="213"/>
    </row>
    <row r="69" spans="1:9">
      <c r="A69" s="209" t="s">
        <v>210</v>
      </c>
      <c r="B69" s="220"/>
      <c r="C69" s="214"/>
      <c r="D69" s="213"/>
      <c r="E69" s="213"/>
      <c r="F69" s="224"/>
      <c r="G69" s="220"/>
      <c r="H69" s="214"/>
      <c r="I69" s="213"/>
    </row>
    <row r="70" spans="1:9" ht="15.75" thickBot="1">
      <c r="A70" s="210" t="s">
        <v>211</v>
      </c>
      <c r="B70" s="221"/>
      <c r="C70" s="211"/>
      <c r="D70" s="194"/>
      <c r="E70" s="194"/>
      <c r="F70" s="225"/>
      <c r="G70" s="221"/>
      <c r="H70" s="211"/>
      <c r="I70" s="194"/>
    </row>
  </sheetData>
  <pageMargins left="0.7" right="0.7" top="0.75" bottom="0.75" header="0.3" footer="0.3"/>
  <pageSetup paperSize="9" scale="6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21"/>
  <dimension ref="A1:AC70"/>
  <sheetViews>
    <sheetView view="pageBreakPreview" zoomScale="60" zoomScaleNormal="100" workbookViewId="0">
      <selection activeCell="Q35" sqref="Q35"/>
    </sheetView>
  </sheetViews>
  <sheetFormatPr defaultColWidth="8.85546875" defaultRowHeight="15"/>
  <cols>
    <col min="1" max="1" width="21.42578125" customWidth="1"/>
    <col min="2" max="2" width="14.42578125" customWidth="1"/>
    <col min="3" max="3" width="14.28515625" style="197" customWidth="1"/>
    <col min="4" max="4" width="14.140625" style="197" customWidth="1"/>
    <col min="5" max="5" width="14.85546875" style="197" customWidth="1"/>
    <col min="6" max="6" width="11.85546875" style="197" customWidth="1"/>
    <col min="7" max="7" width="15.85546875" style="197" customWidth="1"/>
    <col min="8" max="8" width="13.42578125" style="197" customWidth="1"/>
    <col min="9" max="28" width="8.42578125" style="197" customWidth="1"/>
  </cols>
  <sheetData>
    <row r="1" spans="1:29" ht="15.75" thickBot="1"/>
    <row r="2" spans="1:29" ht="48.75" customHeight="1" thickBot="1">
      <c r="A2" s="200" t="s">
        <v>174</v>
      </c>
      <c r="B2" s="217" t="s">
        <v>175</v>
      </c>
      <c r="C2" s="215" t="s">
        <v>176</v>
      </c>
      <c r="D2" s="201" t="s">
        <v>177</v>
      </c>
      <c r="E2" s="201" t="s">
        <v>178</v>
      </c>
      <c r="F2" s="222" t="s">
        <v>169</v>
      </c>
      <c r="G2" s="217" t="s">
        <v>179</v>
      </c>
      <c r="H2" s="226" t="s">
        <v>176</v>
      </c>
      <c r="I2" s="202" t="s">
        <v>169</v>
      </c>
      <c r="O2" s="203"/>
      <c r="P2" s="204"/>
      <c r="Q2" s="204"/>
      <c r="R2" s="97"/>
      <c r="S2" s="97"/>
      <c r="T2" s="97"/>
      <c r="U2" s="97"/>
      <c r="V2" s="97"/>
      <c r="W2" s="97"/>
      <c r="X2" s="97"/>
      <c r="Y2" s="204"/>
      <c r="Z2" s="204"/>
      <c r="AA2" s="97"/>
      <c r="AB2" s="97"/>
      <c r="AC2" s="97"/>
    </row>
    <row r="3" spans="1:29">
      <c r="A3" s="205" t="s">
        <v>128</v>
      </c>
      <c r="B3" s="218"/>
      <c r="C3" s="216"/>
      <c r="D3" s="212"/>
      <c r="E3" s="212"/>
      <c r="F3" s="223"/>
      <c r="G3" s="227"/>
      <c r="H3" s="216"/>
      <c r="I3" s="212"/>
      <c r="O3" s="206"/>
      <c r="P3"/>
      <c r="AC3" s="197"/>
    </row>
    <row r="4" spans="1:29">
      <c r="A4" s="207" t="s">
        <v>180</v>
      </c>
      <c r="B4" s="219" t="s">
        <v>181</v>
      </c>
      <c r="C4" s="214"/>
      <c r="D4" s="213"/>
      <c r="E4" s="213"/>
      <c r="F4" s="224"/>
      <c r="G4" s="220"/>
      <c r="H4" s="214"/>
      <c r="I4" s="213"/>
      <c r="O4" s="206"/>
      <c r="P4" s="208"/>
      <c r="AC4" s="197"/>
    </row>
    <row r="5" spans="1:29" ht="15.75" customHeight="1">
      <c r="A5" s="209" t="s">
        <v>182</v>
      </c>
      <c r="B5" s="220"/>
      <c r="C5" s="214"/>
      <c r="D5" s="213"/>
      <c r="E5" s="213"/>
      <c r="F5" s="224"/>
      <c r="G5" s="220"/>
      <c r="H5" s="214"/>
      <c r="I5" s="213"/>
      <c r="O5" s="206"/>
      <c r="AC5" s="197"/>
    </row>
    <row r="6" spans="1:29">
      <c r="A6" s="209" t="s">
        <v>183</v>
      </c>
      <c r="B6" s="220"/>
      <c r="C6" s="214"/>
      <c r="D6" s="213"/>
      <c r="E6" s="213"/>
      <c r="F6" s="224"/>
      <c r="G6" s="220"/>
      <c r="H6" s="214"/>
      <c r="I6" s="213"/>
      <c r="O6" s="206"/>
      <c r="AC6" s="197"/>
    </row>
    <row r="7" spans="1:29">
      <c r="A7" s="209" t="s">
        <v>184</v>
      </c>
      <c r="B7" s="220"/>
      <c r="C7" s="214"/>
      <c r="D7" s="213"/>
      <c r="E7" s="213"/>
      <c r="F7" s="224"/>
      <c r="G7" s="220"/>
      <c r="H7" s="214"/>
      <c r="I7" s="213"/>
      <c r="O7" s="206"/>
      <c r="AC7" s="197"/>
    </row>
    <row r="8" spans="1:29">
      <c r="A8" s="209" t="s">
        <v>185</v>
      </c>
      <c r="B8" s="220"/>
      <c r="C8" s="214"/>
      <c r="D8" s="213"/>
      <c r="E8" s="213"/>
      <c r="F8" s="224"/>
      <c r="G8" s="220"/>
      <c r="H8" s="214"/>
      <c r="I8" s="213"/>
      <c r="O8" s="206"/>
      <c r="AC8" s="197"/>
    </row>
    <row r="9" spans="1:29">
      <c r="A9" s="209" t="s">
        <v>186</v>
      </c>
      <c r="B9" s="220"/>
      <c r="C9" s="214"/>
      <c r="D9" s="213"/>
      <c r="E9" s="213"/>
      <c r="F9" s="224"/>
      <c r="G9" s="220"/>
      <c r="H9" s="214"/>
      <c r="I9" s="213"/>
      <c r="O9" s="206"/>
      <c r="AC9" s="197"/>
    </row>
    <row r="10" spans="1:29">
      <c r="A10" s="209" t="s">
        <v>187</v>
      </c>
      <c r="B10" s="220"/>
      <c r="C10" s="214"/>
      <c r="D10" s="213"/>
      <c r="E10" s="213"/>
      <c r="F10" s="224"/>
      <c r="G10" s="220"/>
      <c r="H10" s="214"/>
      <c r="I10" s="213"/>
      <c r="O10" s="206"/>
      <c r="AC10" s="197"/>
    </row>
    <row r="11" spans="1:29">
      <c r="A11" s="209" t="s">
        <v>188</v>
      </c>
      <c r="B11" s="220"/>
      <c r="C11" s="214"/>
      <c r="D11" s="213"/>
      <c r="E11" s="213"/>
      <c r="F11" s="224"/>
      <c r="G11" s="220"/>
      <c r="H11" s="214"/>
      <c r="I11" s="213"/>
      <c r="O11" s="206"/>
      <c r="AC11" s="197"/>
    </row>
    <row r="12" spans="1:29">
      <c r="A12" s="209" t="s">
        <v>189</v>
      </c>
      <c r="B12" s="220"/>
      <c r="C12" s="214"/>
      <c r="D12" s="213"/>
      <c r="E12" s="213"/>
      <c r="F12" s="224"/>
      <c r="G12" s="220"/>
      <c r="H12" s="214"/>
      <c r="I12" s="213"/>
      <c r="O12" s="206"/>
      <c r="AC12" s="197"/>
    </row>
    <row r="13" spans="1:29">
      <c r="A13" s="209" t="s">
        <v>190</v>
      </c>
      <c r="B13" s="220"/>
      <c r="C13" s="214"/>
      <c r="D13" s="213"/>
      <c r="E13" s="213"/>
      <c r="F13" s="224"/>
      <c r="G13" s="220"/>
      <c r="H13" s="214"/>
      <c r="I13" s="213"/>
      <c r="O13" s="206"/>
      <c r="AC13" s="197"/>
    </row>
    <row r="14" spans="1:29">
      <c r="A14" s="209" t="s">
        <v>191</v>
      </c>
      <c r="B14" s="220"/>
      <c r="C14" s="214"/>
      <c r="D14" s="213"/>
      <c r="E14" s="213"/>
      <c r="F14" s="224"/>
      <c r="G14" s="220"/>
      <c r="H14" s="214"/>
      <c r="I14" s="213"/>
      <c r="O14" s="206"/>
      <c r="AC14" s="197"/>
    </row>
    <row r="15" spans="1:29">
      <c r="A15" s="209" t="s">
        <v>192</v>
      </c>
      <c r="B15" s="220"/>
      <c r="C15" s="214"/>
      <c r="D15" s="213"/>
      <c r="E15" s="213"/>
      <c r="F15" s="224"/>
      <c r="G15" s="220"/>
      <c r="H15" s="214"/>
      <c r="I15" s="213"/>
      <c r="O15" s="206"/>
      <c r="AC15" s="197"/>
    </row>
    <row r="16" spans="1:29">
      <c r="A16" s="209" t="s">
        <v>193</v>
      </c>
      <c r="B16" s="220"/>
      <c r="C16" s="214"/>
      <c r="D16" s="213"/>
      <c r="E16" s="213"/>
      <c r="F16" s="224"/>
      <c r="G16" s="220"/>
      <c r="H16" s="214"/>
      <c r="I16" s="213"/>
      <c r="O16" s="206"/>
      <c r="AC16" s="197"/>
    </row>
    <row r="17" spans="1:29">
      <c r="A17" s="209" t="s">
        <v>194</v>
      </c>
      <c r="B17" s="220"/>
      <c r="C17" s="214"/>
      <c r="D17" s="213"/>
      <c r="E17" s="213"/>
      <c r="F17" s="224"/>
      <c r="G17" s="220"/>
      <c r="H17" s="214"/>
      <c r="I17" s="213"/>
      <c r="O17" s="206"/>
      <c r="AC17" s="197"/>
    </row>
    <row r="18" spans="1:29">
      <c r="A18" s="209" t="s">
        <v>195</v>
      </c>
      <c r="B18" s="220"/>
      <c r="C18" s="214"/>
      <c r="D18" s="213"/>
      <c r="E18" s="213"/>
      <c r="F18" s="224"/>
      <c r="G18" s="220"/>
      <c r="H18" s="214"/>
      <c r="I18" s="213"/>
      <c r="O18" s="206"/>
      <c r="AC18" s="197"/>
    </row>
    <row r="19" spans="1:29">
      <c r="A19" s="209" t="s">
        <v>196</v>
      </c>
      <c r="B19" s="220"/>
      <c r="C19" s="214"/>
      <c r="D19" s="213"/>
      <c r="E19" s="213"/>
      <c r="F19" s="224"/>
      <c r="G19" s="220"/>
      <c r="H19" s="214"/>
      <c r="I19" s="213"/>
      <c r="O19" s="206"/>
      <c r="AC19" s="197"/>
    </row>
    <row r="20" spans="1:29">
      <c r="A20" s="209" t="s">
        <v>197</v>
      </c>
      <c r="B20" s="220"/>
      <c r="C20" s="214"/>
      <c r="D20" s="213"/>
      <c r="E20" s="213"/>
      <c r="F20" s="224"/>
      <c r="G20" s="220"/>
      <c r="H20" s="214"/>
      <c r="I20" s="213"/>
      <c r="O20" s="206"/>
      <c r="AC20" s="197"/>
    </row>
    <row r="21" spans="1:29">
      <c r="A21" s="209" t="s">
        <v>198</v>
      </c>
      <c r="B21" s="220"/>
      <c r="C21" s="214"/>
      <c r="D21" s="213"/>
      <c r="E21" s="213"/>
      <c r="F21" s="224"/>
      <c r="G21" s="220"/>
      <c r="H21" s="214"/>
      <c r="I21" s="213"/>
      <c r="O21" s="206"/>
      <c r="AC21" s="197"/>
    </row>
    <row r="22" spans="1:29">
      <c r="A22" s="209" t="s">
        <v>199</v>
      </c>
      <c r="B22" s="220"/>
      <c r="C22" s="214"/>
      <c r="D22" s="213"/>
      <c r="E22" s="213"/>
      <c r="F22" s="224"/>
      <c r="G22" s="220"/>
      <c r="H22" s="214"/>
      <c r="I22" s="213"/>
      <c r="O22" s="206"/>
      <c r="AC22" s="197"/>
    </row>
    <row r="23" spans="1:29">
      <c r="A23" s="209" t="s">
        <v>200</v>
      </c>
      <c r="B23" s="220"/>
      <c r="C23" s="214"/>
      <c r="D23" s="213"/>
      <c r="E23" s="213"/>
      <c r="F23" s="224"/>
      <c r="G23" s="220"/>
      <c r="H23" s="214"/>
      <c r="I23" s="213"/>
      <c r="O23" s="206"/>
      <c r="AC23" s="197"/>
    </row>
    <row r="24" spans="1:29">
      <c r="A24" s="209" t="s">
        <v>201</v>
      </c>
      <c r="B24" s="220"/>
      <c r="C24" s="214"/>
      <c r="D24" s="213"/>
      <c r="E24" s="213"/>
      <c r="F24" s="224"/>
      <c r="G24" s="220"/>
      <c r="H24" s="214"/>
      <c r="I24" s="213"/>
      <c r="O24" s="206"/>
      <c r="AC24" s="197"/>
    </row>
    <row r="25" spans="1:29">
      <c r="A25" s="209" t="s">
        <v>202</v>
      </c>
      <c r="B25" s="220"/>
      <c r="C25" s="214"/>
      <c r="D25" s="213"/>
      <c r="E25" s="213"/>
      <c r="F25" s="224"/>
      <c r="G25" s="220"/>
      <c r="H25" s="214"/>
      <c r="I25" s="213"/>
      <c r="O25" s="206"/>
      <c r="AC25" s="197"/>
    </row>
    <row r="26" spans="1:29">
      <c r="A26" s="209" t="s">
        <v>203</v>
      </c>
      <c r="B26" s="220"/>
      <c r="C26" s="214"/>
      <c r="D26" s="213"/>
      <c r="E26" s="213"/>
      <c r="F26" s="224"/>
      <c r="G26" s="220"/>
      <c r="H26" s="214"/>
      <c r="I26" s="213"/>
      <c r="O26" s="206"/>
      <c r="AC26" s="197"/>
    </row>
    <row r="27" spans="1:29">
      <c r="A27" s="209" t="s">
        <v>204</v>
      </c>
      <c r="B27" s="220"/>
      <c r="C27" s="214"/>
      <c r="D27" s="213"/>
      <c r="E27" s="213"/>
      <c r="F27" s="224"/>
      <c r="G27" s="220"/>
      <c r="H27" s="214"/>
      <c r="I27" s="213"/>
      <c r="O27" s="206"/>
      <c r="AC27" s="197"/>
    </row>
    <row r="28" spans="1:29">
      <c r="A28" s="209" t="s">
        <v>205</v>
      </c>
      <c r="B28" s="220"/>
      <c r="C28" s="214"/>
      <c r="D28" s="213"/>
      <c r="E28" s="213"/>
      <c r="F28" s="224"/>
      <c r="G28" s="220"/>
      <c r="H28" s="214"/>
      <c r="I28" s="213"/>
      <c r="O28" s="206"/>
      <c r="AC28" s="197"/>
    </row>
    <row r="29" spans="1:29">
      <c r="A29" s="209" t="s">
        <v>206</v>
      </c>
      <c r="B29" s="220"/>
      <c r="C29" s="214"/>
      <c r="D29" s="213"/>
      <c r="E29" s="213"/>
      <c r="F29" s="224"/>
      <c r="G29" s="220"/>
      <c r="H29" s="214"/>
      <c r="I29" s="213"/>
      <c r="O29" s="206"/>
      <c r="AC29" s="197"/>
    </row>
    <row r="30" spans="1:29">
      <c r="A30" s="209" t="s">
        <v>207</v>
      </c>
      <c r="B30" s="220"/>
      <c r="C30" s="214"/>
      <c r="D30" s="213"/>
      <c r="E30" s="213"/>
      <c r="F30" s="224"/>
      <c r="G30" s="220"/>
      <c r="H30" s="214"/>
      <c r="I30" s="213"/>
      <c r="O30" s="206"/>
      <c r="AC30" s="197"/>
    </row>
    <row r="31" spans="1:29">
      <c r="A31" s="209" t="s">
        <v>208</v>
      </c>
      <c r="B31" s="220"/>
      <c r="C31" s="214"/>
      <c r="D31" s="213"/>
      <c r="E31" s="213"/>
      <c r="F31" s="224"/>
      <c r="G31" s="220"/>
      <c r="H31" s="214"/>
      <c r="I31" s="213"/>
      <c r="O31" s="206"/>
      <c r="AC31" s="197"/>
    </row>
    <row r="32" spans="1:29">
      <c r="A32" s="209" t="s">
        <v>209</v>
      </c>
      <c r="B32" s="220"/>
      <c r="C32" s="214"/>
      <c r="D32" s="213"/>
      <c r="E32" s="213"/>
      <c r="F32" s="224"/>
      <c r="G32" s="220"/>
      <c r="H32" s="214"/>
      <c r="I32" s="213"/>
      <c r="O32" s="206"/>
      <c r="AC32" s="197"/>
    </row>
    <row r="33" spans="1:29">
      <c r="A33" s="209" t="s">
        <v>210</v>
      </c>
      <c r="B33" s="220"/>
      <c r="C33" s="214"/>
      <c r="D33" s="213"/>
      <c r="E33" s="213"/>
      <c r="F33" s="224"/>
      <c r="G33" s="220"/>
      <c r="H33" s="214"/>
      <c r="I33" s="213"/>
      <c r="O33" s="206"/>
      <c r="AC33" s="197"/>
    </row>
    <row r="34" spans="1:29" ht="15.75" thickBot="1">
      <c r="A34" s="210" t="s">
        <v>211</v>
      </c>
      <c r="B34" s="221"/>
      <c r="C34" s="211"/>
      <c r="D34" s="194"/>
      <c r="E34" s="194"/>
      <c r="F34" s="225"/>
      <c r="G34" s="221"/>
      <c r="H34" s="211"/>
      <c r="I34" s="194"/>
      <c r="O34" s="206"/>
      <c r="P34"/>
      <c r="Q34"/>
      <c r="R34"/>
      <c r="S34"/>
      <c r="T34"/>
      <c r="U34"/>
      <c r="V34"/>
      <c r="W34"/>
      <c r="X34"/>
      <c r="Y34"/>
      <c r="Z34"/>
      <c r="AA34"/>
      <c r="AB34"/>
    </row>
    <row r="37" spans="1:29" ht="15.75" thickBot="1"/>
    <row r="38" spans="1:29" ht="45.75" thickBot="1">
      <c r="A38" s="200" t="s">
        <v>212</v>
      </c>
      <c r="B38" s="217" t="s">
        <v>175</v>
      </c>
      <c r="C38" s="215" t="s">
        <v>176</v>
      </c>
      <c r="D38" s="201" t="s">
        <v>177</v>
      </c>
      <c r="E38" s="201" t="s">
        <v>178</v>
      </c>
      <c r="F38" s="222" t="s">
        <v>169</v>
      </c>
      <c r="G38" s="217" t="s">
        <v>179</v>
      </c>
      <c r="H38" s="226" t="s">
        <v>176</v>
      </c>
      <c r="I38" s="202" t="s">
        <v>169</v>
      </c>
    </row>
    <row r="39" spans="1:29">
      <c r="A39" s="205" t="s">
        <v>128</v>
      </c>
      <c r="B39" s="218"/>
      <c r="C39" s="216"/>
      <c r="D39" s="212"/>
      <c r="E39" s="212"/>
      <c r="F39" s="223"/>
      <c r="G39" s="227"/>
      <c r="H39" s="216"/>
      <c r="I39" s="212"/>
    </row>
    <row r="40" spans="1:29">
      <c r="A40" s="207" t="s">
        <v>180</v>
      </c>
      <c r="B40" s="219" t="s">
        <v>181</v>
      </c>
      <c r="C40" s="214"/>
      <c r="D40" s="213"/>
      <c r="E40" s="213"/>
      <c r="F40" s="224"/>
      <c r="G40" s="220"/>
      <c r="H40" s="214"/>
      <c r="I40" s="213"/>
    </row>
    <row r="41" spans="1:29">
      <c r="A41" s="209" t="s">
        <v>182</v>
      </c>
      <c r="B41" s="220"/>
      <c r="C41" s="214"/>
      <c r="D41" s="213"/>
      <c r="E41" s="213"/>
      <c r="F41" s="224"/>
      <c r="G41" s="220"/>
      <c r="H41" s="214"/>
      <c r="I41" s="213"/>
    </row>
    <row r="42" spans="1:29">
      <c r="A42" s="209" t="s">
        <v>183</v>
      </c>
      <c r="B42" s="220"/>
      <c r="C42" s="214"/>
      <c r="D42" s="213"/>
      <c r="E42" s="213"/>
      <c r="F42" s="224"/>
      <c r="G42" s="220"/>
      <c r="H42" s="214"/>
      <c r="I42" s="213"/>
    </row>
    <row r="43" spans="1:29">
      <c r="A43" s="209" t="s">
        <v>184</v>
      </c>
      <c r="B43" s="220"/>
      <c r="C43" s="214"/>
      <c r="D43" s="213"/>
      <c r="E43" s="213"/>
      <c r="F43" s="224"/>
      <c r="G43" s="220"/>
      <c r="H43" s="214"/>
      <c r="I43" s="213"/>
    </row>
    <row r="44" spans="1:29">
      <c r="A44" s="209" t="s">
        <v>185</v>
      </c>
      <c r="B44" s="220"/>
      <c r="C44" s="214"/>
      <c r="D44" s="213"/>
      <c r="E44" s="213"/>
      <c r="F44" s="224"/>
      <c r="G44" s="220"/>
      <c r="H44" s="214"/>
      <c r="I44" s="213"/>
    </row>
    <row r="45" spans="1:29">
      <c r="A45" s="209" t="s">
        <v>186</v>
      </c>
      <c r="B45" s="220"/>
      <c r="C45" s="214"/>
      <c r="D45" s="213"/>
      <c r="E45" s="213"/>
      <c r="F45" s="224"/>
      <c r="G45" s="220"/>
      <c r="H45" s="214"/>
      <c r="I45" s="213"/>
    </row>
    <row r="46" spans="1:29">
      <c r="A46" s="209" t="s">
        <v>187</v>
      </c>
      <c r="B46" s="220"/>
      <c r="C46" s="214"/>
      <c r="D46" s="213"/>
      <c r="E46" s="213"/>
      <c r="F46" s="224"/>
      <c r="G46" s="220"/>
      <c r="H46" s="214"/>
      <c r="I46" s="213"/>
    </row>
    <row r="47" spans="1:29">
      <c r="A47" s="209" t="s">
        <v>188</v>
      </c>
      <c r="B47" s="220"/>
      <c r="C47" s="214"/>
      <c r="D47" s="213"/>
      <c r="E47" s="213"/>
      <c r="F47" s="224"/>
      <c r="G47" s="220"/>
      <c r="H47" s="214"/>
      <c r="I47" s="213"/>
    </row>
    <row r="48" spans="1:29">
      <c r="A48" s="209" t="s">
        <v>189</v>
      </c>
      <c r="B48" s="220"/>
      <c r="C48" s="214"/>
      <c r="D48" s="213"/>
      <c r="E48" s="213"/>
      <c r="F48" s="224"/>
      <c r="G48" s="220"/>
      <c r="H48" s="214"/>
      <c r="I48" s="213"/>
    </row>
    <row r="49" spans="1:9">
      <c r="A49" s="209" t="s">
        <v>190</v>
      </c>
      <c r="B49" s="220"/>
      <c r="C49" s="214"/>
      <c r="D49" s="213"/>
      <c r="E49" s="213"/>
      <c r="F49" s="224"/>
      <c r="G49" s="220"/>
      <c r="H49" s="214"/>
      <c r="I49" s="213"/>
    </row>
    <row r="50" spans="1:9">
      <c r="A50" s="209" t="s">
        <v>191</v>
      </c>
      <c r="B50" s="220"/>
      <c r="C50" s="214"/>
      <c r="D50" s="213"/>
      <c r="E50" s="213"/>
      <c r="F50" s="224"/>
      <c r="G50" s="220"/>
      <c r="H50" s="214"/>
      <c r="I50" s="213"/>
    </row>
    <row r="51" spans="1:9">
      <c r="A51" s="209" t="s">
        <v>192</v>
      </c>
      <c r="B51" s="220"/>
      <c r="C51" s="214"/>
      <c r="D51" s="213"/>
      <c r="E51" s="213"/>
      <c r="F51" s="224"/>
      <c r="G51" s="220"/>
      <c r="H51" s="214"/>
      <c r="I51" s="213"/>
    </row>
    <row r="52" spans="1:9">
      <c r="A52" s="209" t="s">
        <v>193</v>
      </c>
      <c r="B52" s="220"/>
      <c r="C52" s="214"/>
      <c r="D52" s="213"/>
      <c r="E52" s="213"/>
      <c r="F52" s="224"/>
      <c r="G52" s="220"/>
      <c r="H52" s="214"/>
      <c r="I52" s="213"/>
    </row>
    <row r="53" spans="1:9">
      <c r="A53" s="209" t="s">
        <v>194</v>
      </c>
      <c r="B53" s="220"/>
      <c r="C53" s="214"/>
      <c r="D53" s="213"/>
      <c r="E53" s="213"/>
      <c r="F53" s="224"/>
      <c r="G53" s="220"/>
      <c r="H53" s="214"/>
      <c r="I53" s="213"/>
    </row>
    <row r="54" spans="1:9">
      <c r="A54" s="209" t="s">
        <v>195</v>
      </c>
      <c r="B54" s="220"/>
      <c r="C54" s="214"/>
      <c r="D54" s="213"/>
      <c r="E54" s="213"/>
      <c r="F54" s="224"/>
      <c r="G54" s="220"/>
      <c r="H54" s="214"/>
      <c r="I54" s="213"/>
    </row>
    <row r="55" spans="1:9">
      <c r="A55" s="209" t="s">
        <v>196</v>
      </c>
      <c r="B55" s="220"/>
      <c r="C55" s="214"/>
      <c r="D55" s="213"/>
      <c r="E55" s="213"/>
      <c r="F55" s="224"/>
      <c r="G55" s="220"/>
      <c r="H55" s="214"/>
      <c r="I55" s="213"/>
    </row>
    <row r="56" spans="1:9">
      <c r="A56" s="209" t="s">
        <v>197</v>
      </c>
      <c r="B56" s="220"/>
      <c r="C56" s="214"/>
      <c r="D56" s="213"/>
      <c r="E56" s="213"/>
      <c r="F56" s="224"/>
      <c r="G56" s="220"/>
      <c r="H56" s="214"/>
      <c r="I56" s="213"/>
    </row>
    <row r="57" spans="1:9">
      <c r="A57" s="209" t="s">
        <v>198</v>
      </c>
      <c r="B57" s="220"/>
      <c r="C57" s="214"/>
      <c r="D57" s="213"/>
      <c r="E57" s="213"/>
      <c r="F57" s="224"/>
      <c r="G57" s="220"/>
      <c r="H57" s="214"/>
      <c r="I57" s="213"/>
    </row>
    <row r="58" spans="1:9">
      <c r="A58" s="209" t="s">
        <v>199</v>
      </c>
      <c r="B58" s="220"/>
      <c r="C58" s="214"/>
      <c r="D58" s="213"/>
      <c r="E58" s="213"/>
      <c r="F58" s="224"/>
      <c r="G58" s="220"/>
      <c r="H58" s="214"/>
      <c r="I58" s="213"/>
    </row>
    <row r="59" spans="1:9">
      <c r="A59" s="209" t="s">
        <v>200</v>
      </c>
      <c r="B59" s="220"/>
      <c r="C59" s="214"/>
      <c r="D59" s="213"/>
      <c r="E59" s="213"/>
      <c r="F59" s="224"/>
      <c r="G59" s="220"/>
      <c r="H59" s="214"/>
      <c r="I59" s="213"/>
    </row>
    <row r="60" spans="1:9">
      <c r="A60" s="209" t="s">
        <v>201</v>
      </c>
      <c r="B60" s="220"/>
      <c r="C60" s="214"/>
      <c r="D60" s="213"/>
      <c r="E60" s="213"/>
      <c r="F60" s="224"/>
      <c r="G60" s="220"/>
      <c r="H60" s="214"/>
      <c r="I60" s="213"/>
    </row>
    <row r="61" spans="1:9">
      <c r="A61" s="209" t="s">
        <v>202</v>
      </c>
      <c r="B61" s="220"/>
      <c r="C61" s="214"/>
      <c r="D61" s="213"/>
      <c r="E61" s="213"/>
      <c r="F61" s="224"/>
      <c r="G61" s="220"/>
      <c r="H61" s="214"/>
      <c r="I61" s="213"/>
    </row>
    <row r="62" spans="1:9">
      <c r="A62" s="209" t="s">
        <v>203</v>
      </c>
      <c r="B62" s="220"/>
      <c r="C62" s="214"/>
      <c r="D62" s="213"/>
      <c r="E62" s="213"/>
      <c r="F62" s="224"/>
      <c r="G62" s="220"/>
      <c r="H62" s="214"/>
      <c r="I62" s="213"/>
    </row>
    <row r="63" spans="1:9">
      <c r="A63" s="209" t="s">
        <v>204</v>
      </c>
      <c r="B63" s="220"/>
      <c r="C63" s="214"/>
      <c r="D63" s="213"/>
      <c r="E63" s="213"/>
      <c r="F63" s="224"/>
      <c r="G63" s="220"/>
      <c r="H63" s="214"/>
      <c r="I63" s="213"/>
    </row>
    <row r="64" spans="1:9">
      <c r="A64" s="209" t="s">
        <v>205</v>
      </c>
      <c r="B64" s="220"/>
      <c r="C64" s="214"/>
      <c r="D64" s="213"/>
      <c r="E64" s="213"/>
      <c r="F64" s="224"/>
      <c r="G64" s="220"/>
      <c r="H64" s="214"/>
      <c r="I64" s="213"/>
    </row>
    <row r="65" spans="1:9">
      <c r="A65" s="209" t="s">
        <v>206</v>
      </c>
      <c r="B65" s="220"/>
      <c r="C65" s="214"/>
      <c r="D65" s="213"/>
      <c r="E65" s="213"/>
      <c r="F65" s="224"/>
      <c r="G65" s="220"/>
      <c r="H65" s="214"/>
      <c r="I65" s="213"/>
    </row>
    <row r="66" spans="1:9">
      <c r="A66" s="209" t="s">
        <v>207</v>
      </c>
      <c r="B66" s="220"/>
      <c r="C66" s="214"/>
      <c r="D66" s="213"/>
      <c r="E66" s="213"/>
      <c r="F66" s="224"/>
      <c r="G66" s="220"/>
      <c r="H66" s="214"/>
      <c r="I66" s="213"/>
    </row>
    <row r="67" spans="1:9">
      <c r="A67" s="209" t="s">
        <v>208</v>
      </c>
      <c r="B67" s="220"/>
      <c r="C67" s="214"/>
      <c r="D67" s="213"/>
      <c r="E67" s="213"/>
      <c r="F67" s="224"/>
      <c r="G67" s="220"/>
      <c r="H67" s="214"/>
      <c r="I67" s="213"/>
    </row>
    <row r="68" spans="1:9">
      <c r="A68" s="209" t="s">
        <v>209</v>
      </c>
      <c r="B68" s="220"/>
      <c r="C68" s="214"/>
      <c r="D68" s="213"/>
      <c r="E68" s="213"/>
      <c r="F68" s="224"/>
      <c r="G68" s="220"/>
      <c r="H68" s="214"/>
      <c r="I68" s="213"/>
    </row>
    <row r="69" spans="1:9">
      <c r="A69" s="209" t="s">
        <v>210</v>
      </c>
      <c r="B69" s="220"/>
      <c r="C69" s="214"/>
      <c r="D69" s="213"/>
      <c r="E69" s="213"/>
      <c r="F69" s="224"/>
      <c r="G69" s="220"/>
      <c r="H69" s="214"/>
      <c r="I69" s="213"/>
    </row>
    <row r="70" spans="1:9" ht="15.75" thickBot="1">
      <c r="A70" s="210" t="s">
        <v>211</v>
      </c>
      <c r="B70" s="221"/>
      <c r="C70" s="211"/>
      <c r="D70" s="194"/>
      <c r="E70" s="194"/>
      <c r="F70" s="225"/>
      <c r="G70" s="221"/>
      <c r="H70" s="211"/>
      <c r="I70" s="194"/>
    </row>
  </sheetData>
  <pageMargins left="0.7" right="0.7" top="0.75" bottom="0.75" header="0.3" footer="0.3"/>
  <pageSetup paperSize="9" scale="6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5"/>
  <dimension ref="A2:R53"/>
  <sheetViews>
    <sheetView view="pageBreakPreview" zoomScale="60" zoomScaleNormal="80" workbookViewId="0">
      <selection activeCell="O10" sqref="O10"/>
    </sheetView>
  </sheetViews>
  <sheetFormatPr defaultColWidth="8.85546875" defaultRowHeight="15"/>
  <cols>
    <col min="1" max="1" width="7.85546875" style="57" customWidth="1"/>
    <col min="2" max="2" width="12.7109375" style="57" customWidth="1"/>
    <col min="3" max="3" width="14" style="57" customWidth="1"/>
    <col min="4" max="4" width="9.42578125" style="57" customWidth="1"/>
    <col min="5" max="5" width="11.85546875" style="57" customWidth="1"/>
    <col min="6" max="6" width="11.7109375" style="57" customWidth="1"/>
    <col min="7" max="7" width="9.7109375" customWidth="1"/>
    <col min="8" max="8" width="11.42578125" customWidth="1"/>
    <col min="9" max="9" width="10.85546875" customWidth="1"/>
    <col min="10" max="10" width="9.42578125" customWidth="1"/>
    <col min="11" max="11" width="12.7109375" customWidth="1"/>
    <col min="12" max="12" width="11.42578125" customWidth="1"/>
    <col min="13" max="13" width="10.42578125" customWidth="1"/>
    <col min="14" max="14" width="13.28515625" customWidth="1"/>
    <col min="15" max="15" width="11.28515625" customWidth="1"/>
    <col min="16" max="16" width="9.7109375" customWidth="1"/>
    <col min="17" max="17" width="14.7109375" customWidth="1"/>
    <col min="18" max="18" width="15.7109375" customWidth="1"/>
  </cols>
  <sheetData>
    <row r="2" spans="1:18">
      <c r="A2" s="174" t="s">
        <v>116</v>
      </c>
      <c r="B2" s="175">
        <f>'CBA - Agendové IS'!J17</f>
        <v>1.7400155183417156</v>
      </c>
    </row>
    <row r="5" spans="1:18" ht="30" customHeight="1">
      <c r="B5" s="857" t="s">
        <v>158</v>
      </c>
      <c r="C5" s="858"/>
      <c r="D5" s="182"/>
      <c r="E5" s="857" t="s">
        <v>159</v>
      </c>
      <c r="F5" s="858"/>
      <c r="H5" s="855" t="s">
        <v>154</v>
      </c>
      <c r="I5" s="856"/>
      <c r="J5" s="57"/>
      <c r="K5" s="857" t="s">
        <v>157</v>
      </c>
      <c r="L5" s="858"/>
      <c r="N5" s="855" t="s">
        <v>155</v>
      </c>
      <c r="O5" s="856"/>
      <c r="Q5" s="855" t="s">
        <v>156</v>
      </c>
      <c r="R5" s="856"/>
    </row>
    <row r="6" spans="1:18">
      <c r="B6" s="177" t="s">
        <v>12</v>
      </c>
      <c r="C6" s="176" t="s">
        <v>116</v>
      </c>
      <c r="D6" s="183"/>
      <c r="E6" s="177" t="s">
        <v>12</v>
      </c>
      <c r="F6" s="176" t="s">
        <v>116</v>
      </c>
      <c r="H6" s="177" t="s">
        <v>12</v>
      </c>
      <c r="I6" s="176" t="s">
        <v>116</v>
      </c>
      <c r="J6" s="57"/>
      <c r="K6" s="177" t="s">
        <v>12</v>
      </c>
      <c r="L6" s="176" t="s">
        <v>116</v>
      </c>
      <c r="N6" s="178" t="s">
        <v>12</v>
      </c>
      <c r="O6" s="179" t="s">
        <v>116</v>
      </c>
      <c r="Q6" s="178" t="s">
        <v>12</v>
      </c>
      <c r="R6" s="179" t="s">
        <v>116</v>
      </c>
    </row>
    <row r="7" spans="1:18" ht="15" customHeight="1">
      <c r="B7" s="170">
        <v>0</v>
      </c>
      <c r="C7" s="162">
        <f>B2</f>
        <v>1.7400155183417156</v>
      </c>
      <c r="D7" s="180"/>
      <c r="E7" s="170">
        <v>0</v>
      </c>
      <c r="F7" s="162">
        <f>B2</f>
        <v>1.7400155183417156</v>
      </c>
      <c r="H7" s="170">
        <v>0</v>
      </c>
      <c r="I7" s="162">
        <f>B2</f>
        <v>1.7400155183417156</v>
      </c>
      <c r="J7" s="57"/>
      <c r="K7" s="170">
        <v>0</v>
      </c>
      <c r="L7" s="162">
        <f>B2</f>
        <v>1.7400155183417156</v>
      </c>
      <c r="N7" s="172">
        <v>0</v>
      </c>
      <c r="O7" s="164">
        <f>B2</f>
        <v>1.7400155183417156</v>
      </c>
      <c r="Q7" s="172">
        <v>0</v>
      </c>
      <c r="R7" s="164">
        <f>B2</f>
        <v>1.7400155183417156</v>
      </c>
    </row>
    <row r="8" spans="1:18">
      <c r="B8" s="170">
        <v>0.1</v>
      </c>
      <c r="C8" s="166">
        <f t="dataTable" ref="C8:C17" dt2D="0" dtr="0" r1="B7" ca="1"/>
        <v>1.58183228940156</v>
      </c>
      <c r="D8" s="181"/>
      <c r="E8" s="170">
        <v>0.1</v>
      </c>
      <c r="F8" s="166">
        <f t="dataTable" ref="F8:F17" dt2D="0" dtr="0" r1="E7"/>
        <v>1.666176425422546</v>
      </c>
      <c r="H8" s="170">
        <v>-0.1</v>
      </c>
      <c r="I8" s="166">
        <f t="dataTable" ref="I8:I17" dt2D="0" dtr="0" r1="H7" ca="1"/>
        <v>1.7400155183417156</v>
      </c>
      <c r="J8" s="57"/>
      <c r="K8" s="170">
        <v>-0.1</v>
      </c>
      <c r="L8" s="166">
        <f t="dataTable" ref="L8:L17" dt2D="0" dtr="0" r1="K7" ca="1"/>
        <v>1.5660139665075443</v>
      </c>
      <c r="N8" s="172">
        <v>-0.1</v>
      </c>
      <c r="O8" s="168">
        <f t="dataTable" ref="O8:O17" dt2D="0" dtr="0" r1="N7" ca="1"/>
        <v>1.3798406019493819</v>
      </c>
      <c r="Q8" s="172">
        <v>-0.1</v>
      </c>
      <c r="R8" s="168">
        <f t="dataTable" ref="R8:R17" dt2D="0" dtr="0" r1="Q7" ca="1"/>
        <v>1.5567787122410739</v>
      </c>
    </row>
    <row r="9" spans="1:18">
      <c r="A9" s="165"/>
      <c r="B9" s="170">
        <v>0.2</v>
      </c>
      <c r="C9" s="166">
        <v>1.4500129319514299</v>
      </c>
      <c r="D9" s="181"/>
      <c r="E9" s="170">
        <v>0.2</v>
      </c>
      <c r="F9" s="166">
        <v>1.5983490730356951</v>
      </c>
      <c r="H9" s="170">
        <v>-0.2</v>
      </c>
      <c r="I9" s="166">
        <v>1.7400155183417156</v>
      </c>
      <c r="J9" s="57"/>
      <c r="K9" s="170">
        <v>-0.2</v>
      </c>
      <c r="L9" s="166">
        <v>1.3920124146733726</v>
      </c>
      <c r="N9" s="172">
        <v>-0.2</v>
      </c>
      <c r="O9" s="168">
        <v>1.019665685557049</v>
      </c>
      <c r="Q9" s="172">
        <v>-0.2</v>
      </c>
      <c r="R9" s="168">
        <v>1.3735419061404321</v>
      </c>
    </row>
    <row r="10" spans="1:18">
      <c r="A10" s="165"/>
      <c r="B10" s="170">
        <v>0.3</v>
      </c>
      <c r="C10" s="166">
        <v>1.3384734756474737</v>
      </c>
      <c r="D10" s="181"/>
      <c r="E10" s="170">
        <v>0.3</v>
      </c>
      <c r="F10" s="166">
        <v>1.5358279948227358</v>
      </c>
      <c r="H10" s="170">
        <v>-0.3</v>
      </c>
      <c r="I10" s="166">
        <v>1.7400155183417156</v>
      </c>
      <c r="J10" s="57"/>
      <c r="K10" s="170">
        <v>-0.3</v>
      </c>
      <c r="L10" s="166">
        <v>1.2180108628392012</v>
      </c>
      <c r="N10" s="172">
        <v>-0.3</v>
      </c>
      <c r="O10" s="168">
        <v>0.65949076916471605</v>
      </c>
      <c r="Q10" s="172">
        <v>-0.3</v>
      </c>
      <c r="R10" s="168">
        <v>1.1903051000397906</v>
      </c>
    </row>
    <row r="11" spans="1:18">
      <c r="A11" s="165"/>
      <c r="B11" s="170">
        <v>0.4</v>
      </c>
      <c r="C11" s="166">
        <v>1.2428682273869402</v>
      </c>
      <c r="D11" s="181"/>
      <c r="E11" s="170">
        <v>0.4</v>
      </c>
      <c r="F11" s="166">
        <v>1.4780139495081304</v>
      </c>
      <c r="H11" s="170">
        <v>-0.4</v>
      </c>
      <c r="I11" s="166">
        <v>1.7400155183417156</v>
      </c>
      <c r="J11" s="57"/>
      <c r="K11" s="170">
        <v>-0.4</v>
      </c>
      <c r="L11" s="166">
        <v>1.0440093110050295</v>
      </c>
      <c r="N11" s="172">
        <v>-0.4</v>
      </c>
      <c r="O11" s="168">
        <v>0.29931585277238276</v>
      </c>
      <c r="Q11" s="172">
        <v>-0.4</v>
      </c>
      <c r="R11" s="168">
        <v>1.0070682939391491</v>
      </c>
    </row>
    <row r="12" spans="1:18">
      <c r="A12" s="165"/>
      <c r="B12" s="170">
        <v>0.5</v>
      </c>
      <c r="C12" s="166">
        <v>1.1600103455611439</v>
      </c>
      <c r="D12" s="181"/>
      <c r="E12" s="170">
        <v>0.5</v>
      </c>
      <c r="F12" s="166">
        <v>1.4243946527649813</v>
      </c>
      <c r="H12" s="170">
        <v>-0.5</v>
      </c>
      <c r="I12" s="166">
        <v>1.7400155183417156</v>
      </c>
      <c r="J12" s="57"/>
      <c r="K12" s="170">
        <v>-0.5</v>
      </c>
      <c r="L12" s="166">
        <v>0.87000775917085782</v>
      </c>
      <c r="N12" s="172">
        <v>-0.5</v>
      </c>
      <c r="O12" s="168">
        <v>-6.085906361995163E-2</v>
      </c>
      <c r="Q12" s="172">
        <v>-0.5</v>
      </c>
      <c r="R12" s="168">
        <v>0.82383148783850746</v>
      </c>
    </row>
    <row r="13" spans="1:18">
      <c r="A13" s="165"/>
      <c r="B13" s="170">
        <v>0.6</v>
      </c>
      <c r="C13" s="166">
        <v>1.0875096989635724</v>
      </c>
      <c r="D13" s="181"/>
      <c r="E13" s="170">
        <v>0.6</v>
      </c>
      <c r="F13" s="166">
        <v>1.3745295563047875</v>
      </c>
      <c r="H13" s="170">
        <v>-0.6</v>
      </c>
      <c r="I13" s="166">
        <v>1.7400155183417156</v>
      </c>
      <c r="J13" s="57"/>
      <c r="K13" s="170">
        <v>-0.6</v>
      </c>
      <c r="L13" s="166">
        <v>0.69600620733668628</v>
      </c>
      <c r="N13" s="172">
        <v>-0.6</v>
      </c>
      <c r="O13" s="168">
        <v>-0.42103398001228431</v>
      </c>
      <c r="Q13" s="172">
        <v>-0.6</v>
      </c>
      <c r="R13" s="168">
        <v>0.64059468173786582</v>
      </c>
    </row>
    <row r="14" spans="1:18">
      <c r="A14" s="161"/>
      <c r="B14" s="170">
        <v>0.7</v>
      </c>
      <c r="C14" s="166">
        <v>1.0235385402010093</v>
      </c>
      <c r="D14" s="181"/>
      <c r="E14" s="170">
        <v>0.7</v>
      </c>
      <c r="F14" s="166">
        <v>1.328037715943176</v>
      </c>
      <c r="H14" s="170">
        <v>-0.7</v>
      </c>
      <c r="I14" s="166">
        <v>1.7400155183417156</v>
      </c>
      <c r="J14" s="57"/>
      <c r="K14" s="170">
        <v>-0.7</v>
      </c>
      <c r="L14" s="166">
        <v>0.52200465550251485</v>
      </c>
      <c r="N14" s="172">
        <v>-0.7</v>
      </c>
      <c r="O14" s="168">
        <v>-0.78120889640461733</v>
      </c>
      <c r="Q14" s="172">
        <v>-0.7</v>
      </c>
      <c r="R14" s="168">
        <v>0.45735787563722424</v>
      </c>
    </row>
    <row r="15" spans="1:18">
      <c r="A15" s="161"/>
      <c r="B15" s="170">
        <v>0.8</v>
      </c>
      <c r="C15" s="166">
        <v>0.96667528796761992</v>
      </c>
      <c r="D15" s="181"/>
      <c r="E15" s="170">
        <v>0.8</v>
      </c>
      <c r="F15" s="166">
        <v>1.2845880412031101</v>
      </c>
      <c r="H15" s="170">
        <v>-0.8</v>
      </c>
      <c r="I15" s="166">
        <v>1.7400155183417156</v>
      </c>
      <c r="J15" s="57"/>
      <c r="K15" s="170">
        <v>-0.8</v>
      </c>
      <c r="L15" s="166">
        <v>0.34800310366834308</v>
      </c>
      <c r="N15" s="172">
        <v>-0.8</v>
      </c>
      <c r="O15" s="168">
        <v>-1.1413838127969496</v>
      </c>
      <c r="Q15" s="172">
        <v>-0.8</v>
      </c>
      <c r="R15" s="168">
        <v>0.27412106953658238</v>
      </c>
    </row>
    <row r="16" spans="1:18">
      <c r="A16" s="161"/>
      <c r="B16" s="170">
        <v>0.9</v>
      </c>
      <c r="C16" s="166">
        <v>0.91579764123248208</v>
      </c>
      <c r="D16" s="181"/>
      <c r="E16" s="170">
        <v>0.9</v>
      </c>
      <c r="F16" s="166">
        <v>1.2438913983142186</v>
      </c>
      <c r="H16" s="170">
        <v>-0.9</v>
      </c>
      <c r="I16" s="166">
        <v>1.7400155183417156</v>
      </c>
      <c r="J16" s="57"/>
      <c r="K16" s="170">
        <v>-0.9</v>
      </c>
      <c r="L16" s="166">
        <v>0.17400155183417154</v>
      </c>
      <c r="N16" s="172">
        <v>-0.9</v>
      </c>
      <c r="O16" s="168">
        <v>-1.5015587291892829</v>
      </c>
      <c r="Q16" s="172">
        <v>-0.9</v>
      </c>
      <c r="R16" s="168">
        <v>9.0884263435940804E-2</v>
      </c>
    </row>
    <row r="17" spans="1:18">
      <c r="A17" s="161"/>
      <c r="B17" s="171">
        <v>1</v>
      </c>
      <c r="C17" s="167">
        <v>0.87000775917085782</v>
      </c>
      <c r="D17" s="181"/>
      <c r="E17" s="171">
        <v>1</v>
      </c>
      <c r="F17" s="167">
        <v>1.2056941682115856</v>
      </c>
      <c r="H17" s="171">
        <v>-1</v>
      </c>
      <c r="I17" s="167">
        <v>1.7400155183417156</v>
      </c>
      <c r="J17" s="57"/>
      <c r="K17" s="171">
        <v>-1</v>
      </c>
      <c r="L17" s="167">
        <v>0</v>
      </c>
      <c r="N17" s="173">
        <v>-1</v>
      </c>
      <c r="O17" s="169">
        <v>-1.8617336455816158</v>
      </c>
      <c r="Q17" s="173">
        <v>-1</v>
      </c>
      <c r="R17" s="169">
        <v>-9.2352542664700818E-2</v>
      </c>
    </row>
    <row r="18" spans="1:18">
      <c r="A18" s="165"/>
      <c r="N18" s="97"/>
    </row>
    <row r="19" spans="1:18">
      <c r="A19" s="165"/>
    </row>
    <row r="25" spans="1:18" ht="18.75" customHeight="1">
      <c r="D25" s="849" t="s">
        <v>156</v>
      </c>
      <c r="E25" s="850"/>
      <c r="F25" s="850"/>
      <c r="G25" s="850"/>
      <c r="H25" s="850"/>
      <c r="I25" s="850"/>
      <c r="J25" s="850"/>
      <c r="K25" s="850"/>
      <c r="L25" s="850"/>
      <c r="M25" s="850"/>
      <c r="N25" s="851"/>
    </row>
    <row r="26" spans="1:18">
      <c r="C26" s="184">
        <f>B2</f>
        <v>1.7400155183417156</v>
      </c>
      <c r="D26" s="190">
        <v>0</v>
      </c>
      <c r="E26" s="187">
        <v>-0.1</v>
      </c>
      <c r="F26" s="187">
        <v>-0.2</v>
      </c>
      <c r="G26" s="187">
        <v>-0.3</v>
      </c>
      <c r="H26" s="187">
        <v>-0.4</v>
      </c>
      <c r="I26" s="187">
        <v>-0.5</v>
      </c>
      <c r="J26" s="187">
        <v>-0.6</v>
      </c>
      <c r="K26" s="187">
        <v>-0.7</v>
      </c>
      <c r="L26" s="187">
        <v>-0.8</v>
      </c>
      <c r="M26" s="187">
        <v>-0.9</v>
      </c>
      <c r="N26" s="191">
        <v>-1</v>
      </c>
    </row>
    <row r="27" spans="1:18" ht="14.25" customHeight="1">
      <c r="B27" s="852" t="s">
        <v>155</v>
      </c>
      <c r="C27" s="192">
        <v>0</v>
      </c>
      <c r="D27" s="181">
        <f t="dataTable" ref="D27:N37" dt2D="1" dtr="1" r1="Q7" r2="N7" ca="1"/>
        <v>1.7400155183417156</v>
      </c>
      <c r="E27" s="181">
        <v>1.5567787122410739</v>
      </c>
      <c r="F27" s="181">
        <v>1.3735419061404321</v>
      </c>
      <c r="G27" s="186">
        <v>1.1903051000397906</v>
      </c>
      <c r="H27" s="186">
        <v>1.0070682939391491</v>
      </c>
      <c r="I27" s="186">
        <v>0.82383148783850746</v>
      </c>
      <c r="J27" s="186">
        <v>0.64059468173786582</v>
      </c>
      <c r="K27" s="186">
        <v>0.45735787563722424</v>
      </c>
      <c r="L27" s="186">
        <v>0.27412106953658238</v>
      </c>
      <c r="M27" s="186">
        <v>9.0884263435940804E-2</v>
      </c>
      <c r="N27" s="168">
        <v>-9.2352542664700818E-2</v>
      </c>
    </row>
    <row r="28" spans="1:18">
      <c r="B28" s="853"/>
      <c r="C28" s="185">
        <v>-0.1</v>
      </c>
      <c r="D28" s="181">
        <v>1.3798406019493819</v>
      </c>
      <c r="E28" s="181">
        <v>1.1966037958487408</v>
      </c>
      <c r="F28" s="181">
        <v>1.013366989748099</v>
      </c>
      <c r="G28" s="186">
        <v>0.8301301836474575</v>
      </c>
      <c r="H28" s="186">
        <v>0.64689337754681575</v>
      </c>
      <c r="I28" s="186">
        <v>0.46365657144617423</v>
      </c>
      <c r="J28" s="186">
        <v>0.28041976534553259</v>
      </c>
      <c r="K28" s="186">
        <v>9.718295924489101E-2</v>
      </c>
      <c r="L28" s="186">
        <v>-8.6053846855750821E-2</v>
      </c>
      <c r="M28" s="186">
        <v>-0.26929065295639243</v>
      </c>
      <c r="N28" s="168">
        <v>-0.45252745905703406</v>
      </c>
    </row>
    <row r="29" spans="1:18">
      <c r="B29" s="853"/>
      <c r="C29" s="185">
        <v>-0.2</v>
      </c>
      <c r="D29" s="181">
        <v>1.019665685557049</v>
      </c>
      <c r="E29" s="181">
        <v>0.8364288794564072</v>
      </c>
      <c r="F29" s="181">
        <v>0.65319207335576557</v>
      </c>
      <c r="G29" s="186">
        <v>0.46995526725512393</v>
      </c>
      <c r="H29" s="186">
        <v>0.28671846115448241</v>
      </c>
      <c r="I29" s="186">
        <v>0.1034816550538407</v>
      </c>
      <c r="J29" s="186">
        <v>-7.9755151046800948E-2</v>
      </c>
      <c r="K29" s="186">
        <v>-0.26299195714744256</v>
      </c>
      <c r="L29" s="186">
        <v>-0.44622876324808436</v>
      </c>
      <c r="M29" s="186">
        <v>-0.62946556934872588</v>
      </c>
      <c r="N29" s="168">
        <v>-0.81270237544936741</v>
      </c>
    </row>
    <row r="30" spans="1:18">
      <c r="B30" s="853"/>
      <c r="C30" s="185">
        <v>-0.3</v>
      </c>
      <c r="D30" s="181">
        <v>0.65949076916471605</v>
      </c>
      <c r="E30" s="181">
        <v>0.47625396306407441</v>
      </c>
      <c r="F30" s="181">
        <v>0.29301715696343267</v>
      </c>
      <c r="G30" s="186">
        <v>0.10978035086279102</v>
      </c>
      <c r="H30" s="186">
        <v>-7.3456455237850632E-2</v>
      </c>
      <c r="I30" s="186">
        <v>-0.25669326133849224</v>
      </c>
      <c r="J30" s="186">
        <v>-0.43993006743913388</v>
      </c>
      <c r="K30" s="186">
        <v>-0.62316687353977551</v>
      </c>
      <c r="L30" s="186">
        <v>-0.80640367964041726</v>
      </c>
      <c r="M30" s="186">
        <v>-0.98964048574105912</v>
      </c>
      <c r="N30" s="168">
        <v>-1.1728772918417005</v>
      </c>
    </row>
    <row r="31" spans="1:18">
      <c r="B31" s="853"/>
      <c r="C31" s="185">
        <v>-0.4</v>
      </c>
      <c r="D31" s="181">
        <v>0.29931585277238276</v>
      </c>
      <c r="E31" s="181">
        <v>0.1160790466717411</v>
      </c>
      <c r="F31" s="181">
        <v>-6.7157759428900538E-2</v>
      </c>
      <c r="G31" s="186">
        <v>-0.2503945655295422</v>
      </c>
      <c r="H31" s="186">
        <v>-0.43363137163018389</v>
      </c>
      <c r="I31" s="186">
        <v>-0.61686817773082547</v>
      </c>
      <c r="J31" s="186">
        <v>-0.80010498383146711</v>
      </c>
      <c r="K31" s="186">
        <v>-0.98334178993210863</v>
      </c>
      <c r="L31" s="186">
        <v>-1.1665785960327504</v>
      </c>
      <c r="M31" s="186">
        <v>-1.3498154021333921</v>
      </c>
      <c r="N31" s="168">
        <v>-1.5330522082340337</v>
      </c>
    </row>
    <row r="32" spans="1:18">
      <c r="B32" s="853"/>
      <c r="C32" s="185">
        <v>-0.5</v>
      </c>
      <c r="D32" s="181">
        <v>-6.085906361995163E-2</v>
      </c>
      <c r="E32" s="181">
        <v>-0.24409586972059327</v>
      </c>
      <c r="F32" s="181">
        <v>-0.42733267582123485</v>
      </c>
      <c r="G32" s="186">
        <v>-0.61056948192187654</v>
      </c>
      <c r="H32" s="186">
        <v>-0.79380628802251818</v>
      </c>
      <c r="I32" s="186">
        <v>-0.97704309412315982</v>
      </c>
      <c r="J32" s="186">
        <v>-1.1602799002238016</v>
      </c>
      <c r="K32" s="186">
        <v>-1.3435167063244431</v>
      </c>
      <c r="L32" s="186">
        <v>-1.5267535124250848</v>
      </c>
      <c r="M32" s="186">
        <v>-1.7099903185257268</v>
      </c>
      <c r="N32" s="168">
        <v>-1.8932271246263686</v>
      </c>
    </row>
    <row r="33" spans="2:14">
      <c r="B33" s="853"/>
      <c r="C33" s="185">
        <v>-0.6</v>
      </c>
      <c r="D33" s="181">
        <v>-0.42103398001228431</v>
      </c>
      <c r="E33" s="181">
        <v>-0.60427078611292606</v>
      </c>
      <c r="F33" s="181">
        <v>-0.78750759221356759</v>
      </c>
      <c r="G33" s="186">
        <v>-0.97074439831420922</v>
      </c>
      <c r="H33" s="186">
        <v>-1.153981204414851</v>
      </c>
      <c r="I33" s="186">
        <v>-1.3372180105154927</v>
      </c>
      <c r="J33" s="186">
        <v>-1.5204548166161342</v>
      </c>
      <c r="K33" s="186">
        <v>-1.7036916227167755</v>
      </c>
      <c r="L33" s="186">
        <v>-1.8869284288174175</v>
      </c>
      <c r="M33" s="186">
        <v>-2.0701652349180595</v>
      </c>
      <c r="N33" s="168">
        <v>-2.2534020410187008</v>
      </c>
    </row>
    <row r="34" spans="2:14">
      <c r="B34" s="853"/>
      <c r="C34" s="185">
        <v>-0.7</v>
      </c>
      <c r="D34" s="181">
        <v>-0.78120889640461733</v>
      </c>
      <c r="E34" s="181">
        <v>-0.96444570250525907</v>
      </c>
      <c r="F34" s="181">
        <v>-1.1476825086059008</v>
      </c>
      <c r="G34" s="186">
        <v>-1.3309193147065421</v>
      </c>
      <c r="H34" s="186">
        <v>-1.5141561208071839</v>
      </c>
      <c r="I34" s="186">
        <v>-1.6973929269078256</v>
      </c>
      <c r="J34" s="186">
        <v>-1.8806297330084669</v>
      </c>
      <c r="K34" s="186">
        <v>-2.0638665391091089</v>
      </c>
      <c r="L34" s="186">
        <v>-2.2471033452097502</v>
      </c>
      <c r="M34" s="186">
        <v>-2.4303401513103924</v>
      </c>
      <c r="N34" s="168">
        <v>-2.6135769574110337</v>
      </c>
    </row>
    <row r="35" spans="2:14">
      <c r="B35" s="853"/>
      <c r="C35" s="185">
        <v>-0.8</v>
      </c>
      <c r="D35" s="181">
        <v>-1.1413838127969496</v>
      </c>
      <c r="E35" s="181">
        <v>-1.3246206188975911</v>
      </c>
      <c r="F35" s="181">
        <v>-1.5078574249982331</v>
      </c>
      <c r="G35" s="186">
        <v>-1.6910942310988746</v>
      </c>
      <c r="H35" s="186">
        <v>-1.8743310371995168</v>
      </c>
      <c r="I35" s="186">
        <v>-2.0575678433001579</v>
      </c>
      <c r="J35" s="186">
        <v>-2.2408046494008</v>
      </c>
      <c r="K35" s="186">
        <v>-2.4240414555014413</v>
      </c>
      <c r="L35" s="186">
        <v>-2.6072782616020835</v>
      </c>
      <c r="M35" s="186">
        <v>-2.7905150677027248</v>
      </c>
      <c r="N35" s="168">
        <v>-2.9737518738033666</v>
      </c>
    </row>
    <row r="36" spans="2:14">
      <c r="B36" s="853"/>
      <c r="C36" s="185">
        <v>-0.9</v>
      </c>
      <c r="D36" s="181">
        <v>-1.5015587291892829</v>
      </c>
      <c r="E36" s="181">
        <v>-1.6847955352899247</v>
      </c>
      <c r="F36" s="181">
        <v>-1.8680323413905666</v>
      </c>
      <c r="G36" s="186">
        <v>-2.0512691474912081</v>
      </c>
      <c r="H36" s="186">
        <v>-2.2345059535918499</v>
      </c>
      <c r="I36" s="186">
        <v>-2.4177427596924916</v>
      </c>
      <c r="J36" s="186">
        <v>-2.6009795657931329</v>
      </c>
      <c r="K36" s="186">
        <v>-2.7842163718937747</v>
      </c>
      <c r="L36" s="186">
        <v>-2.9674531779944169</v>
      </c>
      <c r="M36" s="186">
        <v>-3.1506899840950582</v>
      </c>
      <c r="N36" s="168">
        <v>-3.3339267901956999</v>
      </c>
    </row>
    <row r="37" spans="2:14">
      <c r="B37" s="854"/>
      <c r="C37" s="191">
        <v>-1</v>
      </c>
      <c r="D37" s="188">
        <v>-1.8617336455816158</v>
      </c>
      <c r="E37" s="188">
        <v>-2.0449704516822576</v>
      </c>
      <c r="F37" s="188">
        <v>-2.2282072577828997</v>
      </c>
      <c r="G37" s="189">
        <v>-2.4114440638835406</v>
      </c>
      <c r="H37" s="189">
        <v>-2.5946808699841823</v>
      </c>
      <c r="I37" s="189">
        <v>-2.7779176760848241</v>
      </c>
      <c r="J37" s="189">
        <v>-2.9611544821854654</v>
      </c>
      <c r="K37" s="189">
        <v>-3.1443912882861067</v>
      </c>
      <c r="L37" s="189">
        <v>-3.3276280943867493</v>
      </c>
      <c r="M37" s="189">
        <v>-3.5108649004873906</v>
      </c>
      <c r="N37" s="169">
        <v>-3.6941017065880324</v>
      </c>
    </row>
    <row r="41" spans="2:14">
      <c r="D41" s="849" t="s">
        <v>157</v>
      </c>
      <c r="E41" s="850"/>
      <c r="F41" s="850"/>
      <c r="G41" s="850"/>
      <c r="H41" s="850"/>
      <c r="I41" s="850"/>
      <c r="J41" s="850"/>
      <c r="K41" s="850"/>
      <c r="L41" s="850"/>
      <c r="M41" s="850"/>
      <c r="N41" s="851"/>
    </row>
    <row r="42" spans="2:14">
      <c r="C42" s="184">
        <f>B2</f>
        <v>1.7400155183417156</v>
      </c>
      <c r="D42" s="190">
        <v>0</v>
      </c>
      <c r="E42" s="187">
        <v>-0.1</v>
      </c>
      <c r="F42" s="187">
        <v>-0.2</v>
      </c>
      <c r="G42" s="187">
        <v>-0.3</v>
      </c>
      <c r="H42" s="187">
        <v>-0.4</v>
      </c>
      <c r="I42" s="187">
        <v>-0.5</v>
      </c>
      <c r="J42" s="187">
        <v>-0.6</v>
      </c>
      <c r="K42" s="187">
        <v>-0.7</v>
      </c>
      <c r="L42" s="187">
        <v>-0.8</v>
      </c>
      <c r="M42" s="187">
        <v>-0.9</v>
      </c>
      <c r="N42" s="191">
        <v>-1</v>
      </c>
    </row>
    <row r="43" spans="2:14">
      <c r="B43" s="852" t="s">
        <v>159</v>
      </c>
      <c r="C43" s="192">
        <v>0</v>
      </c>
      <c r="D43" s="181">
        <f t="dataTable" ref="D43:N53" dt2D="1" dtr="1" r1="K7" r2="E7" ca="1"/>
        <v>1.7400155183417156</v>
      </c>
      <c r="E43" s="181">
        <v>1.5660139665075443</v>
      </c>
      <c r="F43" s="181">
        <v>1.3920124146733726</v>
      </c>
      <c r="G43" s="186">
        <v>1.2180108628392012</v>
      </c>
      <c r="H43" s="186">
        <v>1.0440093110050295</v>
      </c>
      <c r="I43" s="186">
        <v>0.87000775917085782</v>
      </c>
      <c r="J43" s="186">
        <v>0.69600620733668628</v>
      </c>
      <c r="K43" s="186">
        <v>0.52200465550251485</v>
      </c>
      <c r="L43" s="186">
        <v>0.34800310366834308</v>
      </c>
      <c r="M43" s="186">
        <v>0.17400155183417154</v>
      </c>
      <c r="N43" s="168">
        <v>0</v>
      </c>
    </row>
    <row r="44" spans="2:14">
      <c r="B44" s="853"/>
      <c r="C44" s="185">
        <v>0.1</v>
      </c>
      <c r="D44" s="181">
        <v>1.666176425422546</v>
      </c>
      <c r="E44" s="181">
        <v>1.4995587828802917</v>
      </c>
      <c r="F44" s="181">
        <v>1.3329411403380369</v>
      </c>
      <c r="G44" s="186">
        <v>1.1663234977957824</v>
      </c>
      <c r="H44" s="186">
        <v>0.99970585525352773</v>
      </c>
      <c r="I44" s="186">
        <v>0.83308821271127298</v>
      </c>
      <c r="J44" s="186">
        <v>0.66647057016901845</v>
      </c>
      <c r="K44" s="186">
        <v>0.49985292762676392</v>
      </c>
      <c r="L44" s="186">
        <v>0.33323528508450911</v>
      </c>
      <c r="M44" s="186">
        <v>0.16661764254225456</v>
      </c>
      <c r="N44" s="168">
        <v>0</v>
      </c>
    </row>
    <row r="45" spans="2:14">
      <c r="B45" s="853"/>
      <c r="C45" s="185">
        <v>0.2</v>
      </c>
      <c r="D45" s="181">
        <v>1.5983490730356951</v>
      </c>
      <c r="E45" s="181">
        <v>1.4385141657321259</v>
      </c>
      <c r="F45" s="181">
        <v>1.278679258428556</v>
      </c>
      <c r="G45" s="186">
        <v>1.1188443511249868</v>
      </c>
      <c r="H45" s="186">
        <v>0.95900944382141717</v>
      </c>
      <c r="I45" s="186">
        <v>0.79917453651784753</v>
      </c>
      <c r="J45" s="186">
        <v>0.639339629214278</v>
      </c>
      <c r="K45" s="186">
        <v>0.47950472191070864</v>
      </c>
      <c r="L45" s="186">
        <v>0.31966981460713895</v>
      </c>
      <c r="M45" s="186">
        <v>0.15983490730356947</v>
      </c>
      <c r="N45" s="168">
        <v>0</v>
      </c>
    </row>
    <row r="46" spans="2:14">
      <c r="B46" s="853"/>
      <c r="C46" s="185">
        <v>0.3</v>
      </c>
      <c r="D46" s="181">
        <v>1.5358279948227358</v>
      </c>
      <c r="E46" s="181">
        <v>1.3822451953404624</v>
      </c>
      <c r="F46" s="181">
        <v>1.2286623958581886</v>
      </c>
      <c r="G46" s="186">
        <v>1.0750795963759152</v>
      </c>
      <c r="H46" s="186">
        <v>0.92149679689364161</v>
      </c>
      <c r="I46" s="186">
        <v>0.7679139974113679</v>
      </c>
      <c r="J46" s="186">
        <v>0.6143311979290943</v>
      </c>
      <c r="K46" s="186">
        <v>0.46074839844682086</v>
      </c>
      <c r="L46" s="186">
        <v>0.30716559896454709</v>
      </c>
      <c r="M46" s="186">
        <v>0.15358279948227355</v>
      </c>
      <c r="N46" s="168">
        <v>0</v>
      </c>
    </row>
    <row r="47" spans="2:14">
      <c r="B47" s="853"/>
      <c r="C47" s="185">
        <v>0.4</v>
      </c>
      <c r="D47" s="181">
        <v>1.4780139495081304</v>
      </c>
      <c r="E47" s="181">
        <v>1.3302125545573178</v>
      </c>
      <c r="F47" s="181">
        <v>1.1824111596065043</v>
      </c>
      <c r="G47" s="186">
        <v>1.0346097646556915</v>
      </c>
      <c r="H47" s="186">
        <v>0.88680836970487842</v>
      </c>
      <c r="I47" s="186">
        <v>0.73900697475406518</v>
      </c>
      <c r="J47" s="186">
        <v>0.59120557980325217</v>
      </c>
      <c r="K47" s="186">
        <v>0.44340418485243926</v>
      </c>
      <c r="L47" s="186">
        <v>0.29560278990162603</v>
      </c>
      <c r="M47" s="186">
        <v>0.14780139495081301</v>
      </c>
      <c r="N47" s="168">
        <v>0</v>
      </c>
    </row>
    <row r="48" spans="2:14">
      <c r="B48" s="853"/>
      <c r="C48" s="185">
        <v>0.5</v>
      </c>
      <c r="D48" s="181">
        <v>1.4243946527649813</v>
      </c>
      <c r="E48" s="181">
        <v>1.2819551874884836</v>
      </c>
      <c r="F48" s="181">
        <v>1.1395157222119852</v>
      </c>
      <c r="G48" s="186">
        <v>0.99707625693548718</v>
      </c>
      <c r="H48" s="186">
        <v>0.85463679165898898</v>
      </c>
      <c r="I48" s="186">
        <v>0.71219732638249067</v>
      </c>
      <c r="J48" s="186">
        <v>0.56975786110599258</v>
      </c>
      <c r="K48" s="186">
        <v>0.42731839582949455</v>
      </c>
      <c r="L48" s="186">
        <v>0.28487893055299623</v>
      </c>
      <c r="M48" s="186">
        <v>0.14243946527649812</v>
      </c>
      <c r="N48" s="168">
        <v>0</v>
      </c>
    </row>
    <row r="49" spans="2:14">
      <c r="B49" s="853"/>
      <c r="C49" s="185">
        <v>0.6</v>
      </c>
      <c r="D49" s="181">
        <v>1.3745295563047875</v>
      </c>
      <c r="E49" s="181">
        <v>1.2370766006743088</v>
      </c>
      <c r="F49" s="181">
        <v>1.0996236450438299</v>
      </c>
      <c r="G49" s="186">
        <v>0.96217068941335138</v>
      </c>
      <c r="H49" s="186">
        <v>0.8247177337828725</v>
      </c>
      <c r="I49" s="186">
        <v>0.68726477815239373</v>
      </c>
      <c r="J49" s="186">
        <v>0.54981182252191496</v>
      </c>
      <c r="K49" s="186">
        <v>0.4123588668914363</v>
      </c>
      <c r="L49" s="186">
        <v>0.27490591126095743</v>
      </c>
      <c r="M49" s="186">
        <v>0.13745295563047871</v>
      </c>
      <c r="N49" s="168">
        <v>0</v>
      </c>
    </row>
    <row r="50" spans="2:14">
      <c r="B50" s="853"/>
      <c r="C50" s="185">
        <v>0.7</v>
      </c>
      <c r="D50" s="181">
        <v>1.328037715943176</v>
      </c>
      <c r="E50" s="181">
        <v>1.1952339443488587</v>
      </c>
      <c r="F50" s="181">
        <v>1.0624301727545409</v>
      </c>
      <c r="G50" s="186">
        <v>0.92962640116022344</v>
      </c>
      <c r="H50" s="186">
        <v>0.79682262956590577</v>
      </c>
      <c r="I50" s="186">
        <v>0.66401885797158799</v>
      </c>
      <c r="J50" s="186">
        <v>0.53121508637727044</v>
      </c>
      <c r="K50" s="186">
        <v>0.39841131478295294</v>
      </c>
      <c r="L50" s="186">
        <v>0.26560754318863516</v>
      </c>
      <c r="M50" s="186">
        <v>0.13280377159431758</v>
      </c>
      <c r="N50" s="168">
        <v>0</v>
      </c>
    </row>
    <row r="51" spans="2:14">
      <c r="B51" s="853"/>
      <c r="C51" s="185">
        <v>0.8</v>
      </c>
      <c r="D51" s="181">
        <v>1.2845880412031101</v>
      </c>
      <c r="E51" s="181">
        <v>1.1561292370827994</v>
      </c>
      <c r="F51" s="181">
        <v>1.0276704329624882</v>
      </c>
      <c r="G51" s="186">
        <v>0.8992116288421772</v>
      </c>
      <c r="H51" s="186">
        <v>0.77075282472186613</v>
      </c>
      <c r="I51" s="186">
        <v>0.64229402060155505</v>
      </c>
      <c r="J51" s="186">
        <v>0.51383521648124408</v>
      </c>
      <c r="K51" s="186">
        <v>0.38537641236093312</v>
      </c>
      <c r="L51" s="186">
        <v>0.25691760824062199</v>
      </c>
      <c r="M51" s="186">
        <v>0.12845880412031099</v>
      </c>
      <c r="N51" s="168">
        <v>0</v>
      </c>
    </row>
    <row r="52" spans="2:14">
      <c r="B52" s="853"/>
      <c r="C52" s="185">
        <v>0.9</v>
      </c>
      <c r="D52" s="181">
        <v>1.2438913983142186</v>
      </c>
      <c r="E52" s="181">
        <v>1.1195022584827969</v>
      </c>
      <c r="F52" s="181">
        <v>0.99511311865137497</v>
      </c>
      <c r="G52" s="186">
        <v>0.87072397881995323</v>
      </c>
      <c r="H52" s="186">
        <v>0.74633483898853126</v>
      </c>
      <c r="I52" s="186">
        <v>0.62194569915710929</v>
      </c>
      <c r="J52" s="186">
        <v>0.49755655932568749</v>
      </c>
      <c r="K52" s="186">
        <v>0.37316741949426568</v>
      </c>
      <c r="L52" s="186">
        <v>0.24877827966284369</v>
      </c>
      <c r="M52" s="186">
        <v>0.12438913983142184</v>
      </c>
      <c r="N52" s="168">
        <v>0</v>
      </c>
    </row>
    <row r="53" spans="2:14">
      <c r="B53" s="854"/>
      <c r="C53" s="191">
        <v>1</v>
      </c>
      <c r="D53" s="188">
        <v>1.2056941682115856</v>
      </c>
      <c r="E53" s="188">
        <v>1.0851247513904272</v>
      </c>
      <c r="F53" s="188">
        <v>0.96455533456926845</v>
      </c>
      <c r="G53" s="189">
        <v>0.84398591774811005</v>
      </c>
      <c r="H53" s="189">
        <v>0.72341650092695142</v>
      </c>
      <c r="I53" s="189">
        <v>0.6028470841057928</v>
      </c>
      <c r="J53" s="189">
        <v>0.48227766728463423</v>
      </c>
      <c r="K53" s="189">
        <v>0.36170825046347577</v>
      </c>
      <c r="L53" s="189">
        <v>0.24113883364231706</v>
      </c>
      <c r="M53" s="189">
        <v>0.12056941682115853</v>
      </c>
      <c r="N53" s="169">
        <v>0</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5546875" defaultRowHeight="15"/>
  <cols>
    <col min="1" max="1" width="26" customWidth="1"/>
    <col min="2" max="2" width="11.42578125" customWidth="1"/>
    <col min="4" max="4" width="20.85546875" customWidth="1"/>
    <col min="6" max="8" width="12.42578125" bestFit="1" customWidth="1"/>
    <col min="9" max="9" width="13.140625" bestFit="1" customWidth="1"/>
  </cols>
  <sheetData>
    <row r="1" spans="1:9" ht="15.75" thickBot="1"/>
    <row r="2" spans="1:9">
      <c r="A2" s="863" t="str">
        <f>'Parametre - Agendové IS'!G2</f>
        <v>Distribučné služby – poskytovanie údajov</v>
      </c>
      <c r="B2" s="864"/>
      <c r="C2" s="865"/>
      <c r="D2" s="869" t="s">
        <v>104</v>
      </c>
      <c r="E2" s="870"/>
      <c r="F2" s="235" t="s">
        <v>123</v>
      </c>
      <c r="G2" s="235" t="s">
        <v>124</v>
      </c>
      <c r="H2" s="235" t="s">
        <v>125</v>
      </c>
      <c r="I2" s="235" t="s">
        <v>127</v>
      </c>
    </row>
    <row r="3" spans="1:9" ht="15.75" thickBot="1">
      <c r="A3" s="866"/>
      <c r="B3" s="867"/>
      <c r="C3" s="868"/>
      <c r="D3" s="334" t="s">
        <v>255</v>
      </c>
      <c r="E3" s="335" t="s">
        <v>126</v>
      </c>
      <c r="F3" s="132" t="s">
        <v>126</v>
      </c>
      <c r="G3" s="132" t="s">
        <v>126</v>
      </c>
      <c r="H3" s="132" t="s">
        <v>126</v>
      </c>
      <c r="I3" s="132" t="s">
        <v>126</v>
      </c>
    </row>
    <row r="4" spans="1:9" ht="15" customHeight="1">
      <c r="A4" s="768" t="s">
        <v>43</v>
      </c>
      <c r="B4" s="860" t="s">
        <v>144</v>
      </c>
      <c r="C4" s="133" t="s">
        <v>25</v>
      </c>
      <c r="D4" s="336" t="str">
        <f>IF(E4='Parametre - Agendové IS'!H86,"OK","Chyba počtu FTE")</f>
        <v>OK</v>
      </c>
      <c r="E4" s="337">
        <f t="shared" ref="E4:E33" si="0">F4+G4+H4+I4</f>
        <v>0</v>
      </c>
      <c r="F4" s="193"/>
      <c r="G4" s="193"/>
      <c r="H4" s="193"/>
      <c r="I4" s="193"/>
    </row>
    <row r="5" spans="1:9">
      <c r="A5" s="859"/>
      <c r="B5" s="861"/>
      <c r="C5" s="130" t="s">
        <v>26</v>
      </c>
      <c r="D5" s="338" t="str">
        <f>IF(E5='Parametre - Agendové IS'!H87,"OK","Chyba počtu FTE")</f>
        <v>OK</v>
      </c>
      <c r="E5" s="339">
        <f t="shared" si="0"/>
        <v>0</v>
      </c>
      <c r="F5" s="194"/>
      <c r="G5" s="194"/>
      <c r="H5" s="194"/>
      <c r="I5" s="194"/>
    </row>
    <row r="6" spans="1:9">
      <c r="A6" s="859"/>
      <c r="B6" s="861"/>
      <c r="C6" s="130" t="s">
        <v>27</v>
      </c>
      <c r="D6" s="338" t="str">
        <f>IF(E6='Parametre - Agendové IS'!H88,"OK","Chyba počtu FTE")</f>
        <v>Chyba počtu FTE</v>
      </c>
      <c r="E6" s="339">
        <f t="shared" si="0"/>
        <v>0</v>
      </c>
      <c r="F6" s="194"/>
      <c r="G6" s="194"/>
      <c r="H6" s="194"/>
      <c r="I6" s="194"/>
    </row>
    <row r="7" spans="1:9">
      <c r="A7" s="859"/>
      <c r="B7" s="861"/>
      <c r="C7" s="130" t="s">
        <v>28</v>
      </c>
      <c r="D7" s="338" t="str">
        <f>IF(E7='Parametre - Agendové IS'!H89,"OK","Chyba počtu FTE")</f>
        <v>Chyba počtu FTE</v>
      </c>
      <c r="E7" s="339">
        <f t="shared" si="0"/>
        <v>0</v>
      </c>
      <c r="F7" s="194"/>
      <c r="G7" s="194"/>
      <c r="H7" s="194"/>
      <c r="I7" s="194"/>
    </row>
    <row r="8" spans="1:9">
      <c r="A8" s="859"/>
      <c r="B8" s="861"/>
      <c r="C8" s="130" t="s">
        <v>29</v>
      </c>
      <c r="D8" s="338" t="str">
        <f>IF(E8='Parametre - Agendové IS'!H90,"OK","Chyba počtu FTE")</f>
        <v>Chyba počtu FTE</v>
      </c>
      <c r="E8" s="339">
        <f t="shared" si="0"/>
        <v>0</v>
      </c>
      <c r="F8" s="194"/>
      <c r="G8" s="194"/>
      <c r="H8" s="194"/>
      <c r="I8" s="194"/>
    </row>
    <row r="9" spans="1:9">
      <c r="A9" s="859"/>
      <c r="B9" s="861"/>
      <c r="C9" s="130" t="s">
        <v>30</v>
      </c>
      <c r="D9" s="338" t="str">
        <f>IF(E9='Parametre - Agendové IS'!H91,"OK","Chyba počtu FTE")</f>
        <v>Chyba počtu FTE</v>
      </c>
      <c r="E9" s="339">
        <f t="shared" si="0"/>
        <v>0</v>
      </c>
      <c r="F9" s="194"/>
      <c r="G9" s="194"/>
      <c r="H9" s="194"/>
      <c r="I9" s="194"/>
    </row>
    <row r="10" spans="1:9">
      <c r="A10" s="859"/>
      <c r="B10" s="861"/>
      <c r="C10" s="130" t="s">
        <v>31</v>
      </c>
      <c r="D10" s="338" t="str">
        <f>IF(E10='Parametre - Agendové IS'!H92,"OK","Chyba počtu FTE")</f>
        <v>Chyba počtu FTE</v>
      </c>
      <c r="E10" s="339">
        <f t="shared" si="0"/>
        <v>0</v>
      </c>
      <c r="F10" s="194"/>
      <c r="G10" s="194"/>
      <c r="H10" s="194"/>
      <c r="I10" s="194"/>
    </row>
    <row r="11" spans="1:9">
      <c r="A11" s="859"/>
      <c r="B11" s="861"/>
      <c r="C11" s="130" t="s">
        <v>32</v>
      </c>
      <c r="D11" s="338" t="str">
        <f>IF(E11='Parametre - Agendové IS'!H93,"OK","Chyba počtu FTE")</f>
        <v>Chyba počtu FTE</v>
      </c>
      <c r="E11" s="339">
        <f t="shared" si="0"/>
        <v>0</v>
      </c>
      <c r="F11" s="194"/>
      <c r="G11" s="194"/>
      <c r="H11" s="194"/>
      <c r="I11" s="194"/>
    </row>
    <row r="12" spans="1:9">
      <c r="A12" s="859"/>
      <c r="B12" s="861"/>
      <c r="C12" s="130" t="s">
        <v>33</v>
      </c>
      <c r="D12" s="338" t="str">
        <f>IF(E12='Parametre - Agendové IS'!H94,"OK","Chyba počtu FTE")</f>
        <v>Chyba počtu FTE</v>
      </c>
      <c r="E12" s="339">
        <f t="shared" si="0"/>
        <v>0</v>
      </c>
      <c r="F12" s="194"/>
      <c r="G12" s="194"/>
      <c r="H12" s="194"/>
      <c r="I12" s="194"/>
    </row>
    <row r="13" spans="1:9" ht="15.75" thickBot="1">
      <c r="A13" s="859"/>
      <c r="B13" s="861"/>
      <c r="C13" s="130" t="s">
        <v>34</v>
      </c>
      <c r="D13" s="340" t="str">
        <f>IF(E13='Parametre - Agendové IS'!H95,"OK","Chyba počtu FTE")</f>
        <v>Chyba počtu FTE</v>
      </c>
      <c r="E13" s="341">
        <f t="shared" si="0"/>
        <v>0</v>
      </c>
      <c r="F13" s="195"/>
      <c r="G13" s="195"/>
      <c r="H13" s="195"/>
      <c r="I13" s="195"/>
    </row>
    <row r="14" spans="1:9" ht="15" customHeight="1">
      <c r="A14" s="768" t="s">
        <v>41</v>
      </c>
      <c r="B14" s="860" t="s">
        <v>37</v>
      </c>
      <c r="C14" s="133" t="s">
        <v>25</v>
      </c>
      <c r="D14" s="337" t="str">
        <f>IF(E14='Parametre - Agendové IS'!H5,"OK","Chyba počtu podaní")</f>
        <v>Chyba počtu podaní</v>
      </c>
      <c r="E14" s="342">
        <f t="shared" si="0"/>
        <v>0</v>
      </c>
      <c r="F14" s="193"/>
      <c r="G14" s="193"/>
      <c r="H14" s="193"/>
      <c r="I14" s="193"/>
    </row>
    <row r="15" spans="1:9">
      <c r="A15" s="859"/>
      <c r="B15" s="861"/>
      <c r="C15" s="130" t="s">
        <v>26</v>
      </c>
      <c r="D15" s="338" t="str">
        <f>IF(E15='Parametre - Agendové IS'!H6,"OK","Chyba počtu podaní")</f>
        <v>Chyba počtu podaní</v>
      </c>
      <c r="E15" s="339">
        <f t="shared" si="0"/>
        <v>0</v>
      </c>
      <c r="F15" s="194"/>
      <c r="G15" s="194"/>
      <c r="H15" s="194"/>
      <c r="I15" s="194"/>
    </row>
    <row r="16" spans="1:9">
      <c r="A16" s="859"/>
      <c r="B16" s="861"/>
      <c r="C16" s="130" t="s">
        <v>27</v>
      </c>
      <c r="D16" s="338" t="str">
        <f>IF(E16='Parametre - Agendové IS'!H7,"OK","Chyba počtu podaní")</f>
        <v>Chyba počtu podaní</v>
      </c>
      <c r="E16" s="339">
        <f t="shared" si="0"/>
        <v>0</v>
      </c>
      <c r="F16" s="194"/>
      <c r="G16" s="194"/>
      <c r="H16" s="194"/>
      <c r="I16" s="194"/>
    </row>
    <row r="17" spans="1:9">
      <c r="A17" s="859"/>
      <c r="B17" s="861"/>
      <c r="C17" s="130" t="s">
        <v>28</v>
      </c>
      <c r="D17" s="338" t="str">
        <f>IF(E17='Parametre - Agendové IS'!H8,"OK","Chyba počtu podaní")</f>
        <v>Chyba počtu podaní</v>
      </c>
      <c r="E17" s="339">
        <f t="shared" si="0"/>
        <v>0</v>
      </c>
      <c r="F17" s="194"/>
      <c r="G17" s="194"/>
      <c r="H17" s="194"/>
      <c r="I17" s="194"/>
    </row>
    <row r="18" spans="1:9">
      <c r="A18" s="859"/>
      <c r="B18" s="861"/>
      <c r="C18" s="130" t="s">
        <v>29</v>
      </c>
      <c r="D18" s="338" t="str">
        <f>IF(E18='Parametre - Agendové IS'!H9,"OK","Chyba počtu podaní")</f>
        <v>Chyba počtu podaní</v>
      </c>
      <c r="E18" s="339">
        <f t="shared" si="0"/>
        <v>0</v>
      </c>
      <c r="F18" s="194"/>
      <c r="G18" s="194"/>
      <c r="H18" s="194"/>
      <c r="I18" s="194"/>
    </row>
    <row r="19" spans="1:9">
      <c r="A19" s="859"/>
      <c r="B19" s="861"/>
      <c r="C19" s="130" t="s">
        <v>30</v>
      </c>
      <c r="D19" s="338" t="str">
        <f>IF(E19='Parametre - Agendové IS'!H10,"OK","Chyba počtu podaní")</f>
        <v>Chyba počtu podaní</v>
      </c>
      <c r="E19" s="339">
        <f t="shared" si="0"/>
        <v>0</v>
      </c>
      <c r="F19" s="194"/>
      <c r="G19" s="194"/>
      <c r="H19" s="194"/>
      <c r="I19" s="194"/>
    </row>
    <row r="20" spans="1:9">
      <c r="A20" s="859"/>
      <c r="B20" s="861"/>
      <c r="C20" s="130" t="s">
        <v>31</v>
      </c>
      <c r="D20" s="338" t="str">
        <f>IF(E20='Parametre - Agendové IS'!H11,"OK","Chyba počtu podaní")</f>
        <v>Chyba počtu podaní</v>
      </c>
      <c r="E20" s="339">
        <f t="shared" si="0"/>
        <v>0</v>
      </c>
      <c r="F20" s="194"/>
      <c r="G20" s="194"/>
      <c r="H20" s="194"/>
      <c r="I20" s="194"/>
    </row>
    <row r="21" spans="1:9">
      <c r="A21" s="859"/>
      <c r="B21" s="861"/>
      <c r="C21" s="130" t="s">
        <v>32</v>
      </c>
      <c r="D21" s="338" t="str">
        <f>IF(E21='Parametre - Agendové IS'!H12,"OK","Chyba počtu podaní")</f>
        <v>Chyba počtu podaní</v>
      </c>
      <c r="E21" s="339">
        <f t="shared" si="0"/>
        <v>0</v>
      </c>
      <c r="F21" s="194"/>
      <c r="G21" s="194"/>
      <c r="H21" s="194"/>
      <c r="I21" s="194"/>
    </row>
    <row r="22" spans="1:9">
      <c r="A22" s="859"/>
      <c r="B22" s="861"/>
      <c r="C22" s="130" t="s">
        <v>33</v>
      </c>
      <c r="D22" s="338" t="str">
        <f>IF(E22='Parametre - Agendové IS'!H13,"OK","Chyba počtu podaní")</f>
        <v>Chyba počtu podaní</v>
      </c>
      <c r="E22" s="339">
        <f t="shared" si="0"/>
        <v>0</v>
      </c>
      <c r="F22" s="194"/>
      <c r="G22" s="194"/>
      <c r="H22" s="194"/>
      <c r="I22" s="194"/>
    </row>
    <row r="23" spans="1:9" ht="15.75" thickBot="1">
      <c r="A23" s="770"/>
      <c r="B23" s="862"/>
      <c r="C23" s="131" t="s">
        <v>34</v>
      </c>
      <c r="D23" s="338" t="str">
        <f>IF(E23='Parametre - Agendové IS'!H14,"OK","Chyba počtu podaní")</f>
        <v>Chyba počtu podaní</v>
      </c>
      <c r="E23" s="339">
        <f t="shared" si="0"/>
        <v>0</v>
      </c>
      <c r="F23" s="194"/>
      <c r="G23" s="194"/>
      <c r="H23" s="194"/>
      <c r="I23" s="194"/>
    </row>
    <row r="24" spans="1:9">
      <c r="A24" s="768" t="s">
        <v>39</v>
      </c>
      <c r="B24" s="860" t="s">
        <v>13</v>
      </c>
      <c r="C24" s="133" t="s">
        <v>25</v>
      </c>
      <c r="D24" s="337" t="str">
        <f>IF(E24='Parametre - Agendové IS'!H126,"OK","Chyba")</f>
        <v>OK</v>
      </c>
      <c r="E24" s="342">
        <f t="shared" si="0"/>
        <v>0</v>
      </c>
      <c r="F24" s="193"/>
      <c r="G24" s="193"/>
      <c r="H24" s="193"/>
      <c r="I24" s="193"/>
    </row>
    <row r="25" spans="1:9">
      <c r="A25" s="859"/>
      <c r="B25" s="861"/>
      <c r="C25" s="130" t="s">
        <v>26</v>
      </c>
      <c r="D25" s="338" t="str">
        <f>IF(E25='Parametre - Agendové IS'!H127,"OK","Chyba")</f>
        <v>OK</v>
      </c>
      <c r="E25" s="339">
        <f t="shared" si="0"/>
        <v>0</v>
      </c>
      <c r="F25" s="194"/>
      <c r="G25" s="194"/>
      <c r="H25" s="194"/>
      <c r="I25" s="194"/>
    </row>
    <row r="26" spans="1:9">
      <c r="A26" s="859"/>
      <c r="B26" s="861"/>
      <c r="C26" s="130" t="s">
        <v>27</v>
      </c>
      <c r="D26" s="338" t="str">
        <f>IF(E26='Parametre - Agendové IS'!H128,"OK","Chyba")</f>
        <v>OK</v>
      </c>
      <c r="E26" s="339">
        <f t="shared" si="0"/>
        <v>0</v>
      </c>
      <c r="F26" s="194"/>
      <c r="G26" s="194"/>
      <c r="H26" s="194"/>
      <c r="I26" s="194"/>
    </row>
    <row r="27" spans="1:9">
      <c r="A27" s="859"/>
      <c r="B27" s="861"/>
      <c r="C27" s="130" t="s">
        <v>28</v>
      </c>
      <c r="D27" s="338" t="str">
        <f>IF(E27='Parametre - Agendové IS'!H129,"OK","Chyba")</f>
        <v>OK</v>
      </c>
      <c r="E27" s="339">
        <f t="shared" si="0"/>
        <v>0</v>
      </c>
      <c r="F27" s="194"/>
      <c r="G27" s="194"/>
      <c r="H27" s="194"/>
      <c r="I27" s="194"/>
    </row>
    <row r="28" spans="1:9">
      <c r="A28" s="859"/>
      <c r="B28" s="861"/>
      <c r="C28" s="130" t="s">
        <v>29</v>
      </c>
      <c r="D28" s="338" t="str">
        <f>IF(E28='Parametre - Agendové IS'!H130,"OK","Chyba")</f>
        <v>OK</v>
      </c>
      <c r="E28" s="339">
        <f t="shared" si="0"/>
        <v>0</v>
      </c>
      <c r="F28" s="194"/>
      <c r="G28" s="194"/>
      <c r="H28" s="194"/>
      <c r="I28" s="194"/>
    </row>
    <row r="29" spans="1:9">
      <c r="A29" s="859"/>
      <c r="B29" s="861"/>
      <c r="C29" s="130" t="s">
        <v>30</v>
      </c>
      <c r="D29" s="338" t="str">
        <f>IF(E29='Parametre - Agendové IS'!H131,"OK","Chyba")</f>
        <v>OK</v>
      </c>
      <c r="E29" s="339">
        <f t="shared" si="0"/>
        <v>0</v>
      </c>
      <c r="F29" s="194"/>
      <c r="G29" s="194"/>
      <c r="H29" s="194"/>
      <c r="I29" s="194"/>
    </row>
    <row r="30" spans="1:9">
      <c r="A30" s="859"/>
      <c r="B30" s="861"/>
      <c r="C30" s="130" t="s">
        <v>31</v>
      </c>
      <c r="D30" s="338" t="str">
        <f>IF(E30='Parametre - Agendové IS'!H132,"OK","Chyba")</f>
        <v>OK</v>
      </c>
      <c r="E30" s="339">
        <f t="shared" si="0"/>
        <v>0</v>
      </c>
      <c r="F30" s="194"/>
      <c r="G30" s="194"/>
      <c r="H30" s="194"/>
      <c r="I30" s="194"/>
    </row>
    <row r="31" spans="1:9">
      <c r="A31" s="859"/>
      <c r="B31" s="861"/>
      <c r="C31" s="130" t="s">
        <v>32</v>
      </c>
      <c r="D31" s="338" t="str">
        <f>IF(E31='Parametre - Agendové IS'!H133,"OK","Chyba")</f>
        <v>OK</v>
      </c>
      <c r="E31" s="339">
        <f t="shared" si="0"/>
        <v>0</v>
      </c>
      <c r="F31" s="194"/>
      <c r="G31" s="194"/>
      <c r="H31" s="194"/>
      <c r="I31" s="194"/>
    </row>
    <row r="32" spans="1:9">
      <c r="A32" s="859"/>
      <c r="B32" s="861"/>
      <c r="C32" s="130" t="s">
        <v>33</v>
      </c>
      <c r="D32" s="338" t="str">
        <f>IF(E32='Parametre - Agendové IS'!H134,"OK","Chyba")</f>
        <v>OK</v>
      </c>
      <c r="E32" s="339">
        <f t="shared" si="0"/>
        <v>0</v>
      </c>
      <c r="F32" s="194"/>
      <c r="G32" s="194"/>
      <c r="H32" s="194"/>
      <c r="I32" s="194"/>
    </row>
    <row r="33" spans="1:9" ht="15.75" thickBot="1">
      <c r="A33" s="770"/>
      <c r="B33" s="862"/>
      <c r="C33" s="131" t="s">
        <v>34</v>
      </c>
      <c r="D33" s="338" t="str">
        <f>IF(E33='Parametre - Agendové IS'!H135,"OK","Chyba")</f>
        <v>OK</v>
      </c>
      <c r="E33" s="339">
        <f t="shared" si="0"/>
        <v>0</v>
      </c>
      <c r="F33" s="194"/>
      <c r="G33" s="194"/>
      <c r="H33" s="194"/>
      <c r="I33" s="194"/>
    </row>
    <row r="34" spans="1:9">
      <c r="A34" s="128"/>
      <c r="B34" s="129"/>
    </row>
    <row r="35" spans="1:9">
      <c r="A35" s="128"/>
      <c r="B35" s="129"/>
    </row>
    <row r="36" spans="1:9" ht="15.75" thickBot="1">
      <c r="A36" s="128"/>
      <c r="B36" s="129"/>
    </row>
    <row r="37" spans="1:9">
      <c r="A37" s="863" t="str">
        <f>'Parametre - Agendové IS'!BI2</f>
        <v>Plánovanie zberu údajov (interná služba)</v>
      </c>
      <c r="B37" s="864"/>
      <c r="C37" s="865"/>
      <c r="D37" s="869" t="s">
        <v>104</v>
      </c>
      <c r="E37" s="870"/>
      <c r="F37" s="235" t="s">
        <v>123</v>
      </c>
      <c r="G37" s="235" t="s">
        <v>124</v>
      </c>
      <c r="H37" s="235" t="s">
        <v>125</v>
      </c>
      <c r="I37" s="235" t="s">
        <v>127</v>
      </c>
    </row>
    <row r="38" spans="1:9" ht="15.75" thickBot="1">
      <c r="A38" s="866"/>
      <c r="B38" s="867"/>
      <c r="C38" s="868"/>
      <c r="D38" s="334" t="s">
        <v>255</v>
      </c>
      <c r="E38" s="335" t="s">
        <v>126</v>
      </c>
      <c r="F38" s="132" t="s">
        <v>126</v>
      </c>
      <c r="G38" s="132" t="s">
        <v>126</v>
      </c>
      <c r="H38" s="132" t="s">
        <v>126</v>
      </c>
      <c r="I38" s="132" t="s">
        <v>126</v>
      </c>
    </row>
    <row r="39" spans="1:9">
      <c r="A39" s="768" t="s">
        <v>43</v>
      </c>
      <c r="B39" s="860" t="s">
        <v>144</v>
      </c>
      <c r="C39" s="133" t="s">
        <v>25</v>
      </c>
      <c r="D39" s="336" t="str">
        <f>IF(E39='Parametre - Agendové IS'!BJ86,"OK","Chyba počtu FTE")</f>
        <v>OK</v>
      </c>
      <c r="E39" s="337">
        <f t="shared" ref="E39:E68" si="1">F39+G39+H39+I39</f>
        <v>0</v>
      </c>
      <c r="F39" s="193"/>
      <c r="G39" s="193"/>
      <c r="H39" s="193"/>
      <c r="I39" s="193"/>
    </row>
    <row r="40" spans="1:9">
      <c r="A40" s="859"/>
      <c r="B40" s="861"/>
      <c r="C40" s="130" t="s">
        <v>26</v>
      </c>
      <c r="D40" s="338" t="str">
        <f>IF(E40='Parametre - Agendové IS'!BJ87,"OK","Chyba počtu FTE")</f>
        <v>OK</v>
      </c>
      <c r="E40" s="339">
        <f t="shared" si="1"/>
        <v>0</v>
      </c>
      <c r="F40" s="194"/>
      <c r="G40" s="194"/>
      <c r="H40" s="194"/>
      <c r="I40" s="194"/>
    </row>
    <row r="41" spans="1:9">
      <c r="A41" s="859"/>
      <c r="B41" s="861"/>
      <c r="C41" s="130" t="s">
        <v>27</v>
      </c>
      <c r="D41" s="338" t="str">
        <f>IF(E41='Parametre - Agendové IS'!BJ88,"OK","Chyba počtu FTE")</f>
        <v>Chyba počtu FTE</v>
      </c>
      <c r="E41" s="339">
        <f t="shared" si="1"/>
        <v>0</v>
      </c>
      <c r="F41" s="194"/>
      <c r="G41" s="194"/>
      <c r="H41" s="194"/>
      <c r="I41" s="194"/>
    </row>
    <row r="42" spans="1:9">
      <c r="A42" s="859"/>
      <c r="B42" s="861"/>
      <c r="C42" s="130" t="s">
        <v>28</v>
      </c>
      <c r="D42" s="338" t="str">
        <f>IF(E42='Parametre - Agendové IS'!BJ89,"OK","Chyba počtu FTE")</f>
        <v>Chyba počtu FTE</v>
      </c>
      <c r="E42" s="339">
        <f t="shared" si="1"/>
        <v>0</v>
      </c>
      <c r="F42" s="194"/>
      <c r="G42" s="194"/>
      <c r="H42" s="194"/>
      <c r="I42" s="194"/>
    </row>
    <row r="43" spans="1:9">
      <c r="A43" s="859"/>
      <c r="B43" s="861"/>
      <c r="C43" s="130" t="s">
        <v>29</v>
      </c>
      <c r="D43" s="338" t="str">
        <f>IF(E43='Parametre - Agendové IS'!BJ90,"OK","Chyba počtu FTE")</f>
        <v>Chyba počtu FTE</v>
      </c>
      <c r="E43" s="339">
        <f t="shared" si="1"/>
        <v>0</v>
      </c>
      <c r="F43" s="194"/>
      <c r="G43" s="194"/>
      <c r="H43" s="194"/>
      <c r="I43" s="194"/>
    </row>
    <row r="44" spans="1:9" ht="15" customHeight="1">
      <c r="A44" s="859"/>
      <c r="B44" s="861"/>
      <c r="C44" s="130" t="s">
        <v>30</v>
      </c>
      <c r="D44" s="338" t="str">
        <f>IF(E44='Parametre - Agendové IS'!BJ91,"OK","Chyba počtu FTE")</f>
        <v>Chyba počtu FTE</v>
      </c>
      <c r="E44" s="339">
        <f t="shared" si="1"/>
        <v>0</v>
      </c>
      <c r="F44" s="194"/>
      <c r="G44" s="194"/>
      <c r="H44" s="194"/>
      <c r="I44" s="194"/>
    </row>
    <row r="45" spans="1:9">
      <c r="A45" s="859"/>
      <c r="B45" s="861"/>
      <c r="C45" s="130" t="s">
        <v>31</v>
      </c>
      <c r="D45" s="338" t="str">
        <f>IF(E45='Parametre - Agendové IS'!BJ92,"OK","Chyba počtu FTE")</f>
        <v>Chyba počtu FTE</v>
      </c>
      <c r="E45" s="339">
        <f t="shared" si="1"/>
        <v>0</v>
      </c>
      <c r="F45" s="194"/>
      <c r="G45" s="194"/>
      <c r="H45" s="194"/>
      <c r="I45" s="194"/>
    </row>
    <row r="46" spans="1:9">
      <c r="A46" s="859"/>
      <c r="B46" s="861"/>
      <c r="C46" s="130" t="s">
        <v>32</v>
      </c>
      <c r="D46" s="338" t="str">
        <f>IF(E46='Parametre - Agendové IS'!BJ93,"OK","Chyba počtu FTE")</f>
        <v>Chyba počtu FTE</v>
      </c>
      <c r="E46" s="339">
        <f t="shared" si="1"/>
        <v>0</v>
      </c>
      <c r="F46" s="194"/>
      <c r="G46" s="194"/>
      <c r="H46" s="194"/>
      <c r="I46" s="194"/>
    </row>
    <row r="47" spans="1:9">
      <c r="A47" s="859"/>
      <c r="B47" s="861"/>
      <c r="C47" s="130" t="s">
        <v>33</v>
      </c>
      <c r="D47" s="338" t="str">
        <f>IF(E47='Parametre - Agendové IS'!BJ94,"OK","Chyba počtu FTE")</f>
        <v>Chyba počtu FTE</v>
      </c>
      <c r="E47" s="339">
        <f t="shared" si="1"/>
        <v>0</v>
      </c>
      <c r="F47" s="194"/>
      <c r="G47" s="194"/>
      <c r="H47" s="194"/>
      <c r="I47" s="194"/>
    </row>
    <row r="48" spans="1:9" ht="15.75" thickBot="1">
      <c r="A48" s="859"/>
      <c r="B48" s="861"/>
      <c r="C48" s="130" t="s">
        <v>34</v>
      </c>
      <c r="D48" s="340" t="str">
        <f>IF(E48='Parametre - Agendové IS'!BJ95,"OK","Chyba počtu FTE")</f>
        <v>Chyba počtu FTE</v>
      </c>
      <c r="E48" s="341">
        <f t="shared" si="1"/>
        <v>0</v>
      </c>
      <c r="F48" s="195"/>
      <c r="G48" s="195"/>
      <c r="H48" s="195"/>
      <c r="I48" s="195"/>
    </row>
    <row r="49" spans="1:9">
      <c r="A49" s="768" t="s">
        <v>41</v>
      </c>
      <c r="B49" s="860" t="s">
        <v>37</v>
      </c>
      <c r="C49" s="133" t="s">
        <v>25</v>
      </c>
      <c r="D49" s="337" t="str">
        <f>IF(E49='Parametre - Agendové IS'!BJ5,"OK","Chyba počtu podaní")</f>
        <v>Chyba počtu podaní</v>
      </c>
      <c r="E49" s="342">
        <f t="shared" si="1"/>
        <v>0</v>
      </c>
      <c r="F49" s="193"/>
      <c r="G49" s="193"/>
      <c r="H49" s="193"/>
      <c r="I49" s="193"/>
    </row>
    <row r="50" spans="1:9">
      <c r="A50" s="859"/>
      <c r="B50" s="861"/>
      <c r="C50" s="130" t="s">
        <v>26</v>
      </c>
      <c r="D50" s="338" t="str">
        <f>IF(E50='Parametre - Agendové IS'!BJ6,"OK","Chyba počtu podaní")</f>
        <v>Chyba počtu podaní</v>
      </c>
      <c r="E50" s="339">
        <f t="shared" si="1"/>
        <v>0</v>
      </c>
      <c r="F50" s="194"/>
      <c r="G50" s="194"/>
      <c r="H50" s="194"/>
      <c r="I50" s="194"/>
    </row>
    <row r="51" spans="1:9">
      <c r="A51" s="859"/>
      <c r="B51" s="861"/>
      <c r="C51" s="130" t="s">
        <v>27</v>
      </c>
      <c r="D51" s="338" t="str">
        <f>IF(E51='Parametre - Agendové IS'!BJ7,"OK","Chyba počtu podaní")</f>
        <v>Chyba počtu podaní</v>
      </c>
      <c r="E51" s="339">
        <f t="shared" si="1"/>
        <v>0</v>
      </c>
      <c r="F51" s="194"/>
      <c r="G51" s="194"/>
      <c r="H51" s="194"/>
      <c r="I51" s="194"/>
    </row>
    <row r="52" spans="1:9">
      <c r="A52" s="859"/>
      <c r="B52" s="861"/>
      <c r="C52" s="130" t="s">
        <v>28</v>
      </c>
      <c r="D52" s="338" t="str">
        <f>IF(E52='Parametre - Agendové IS'!BJ8,"OK","Chyba počtu podaní")</f>
        <v>Chyba počtu podaní</v>
      </c>
      <c r="E52" s="339">
        <f t="shared" si="1"/>
        <v>0</v>
      </c>
      <c r="F52" s="194"/>
      <c r="G52" s="194"/>
      <c r="H52" s="194"/>
      <c r="I52" s="194"/>
    </row>
    <row r="53" spans="1:9">
      <c r="A53" s="859"/>
      <c r="B53" s="861"/>
      <c r="C53" s="130" t="s">
        <v>29</v>
      </c>
      <c r="D53" s="338" t="str">
        <f>IF(E53='Parametre - Agendové IS'!BJ9,"OK","Chyba počtu podaní")</f>
        <v>Chyba počtu podaní</v>
      </c>
      <c r="E53" s="339">
        <f t="shared" si="1"/>
        <v>0</v>
      </c>
      <c r="F53" s="194"/>
      <c r="G53" s="194"/>
      <c r="H53" s="194"/>
      <c r="I53" s="194"/>
    </row>
    <row r="54" spans="1:9">
      <c r="A54" s="859"/>
      <c r="B54" s="861"/>
      <c r="C54" s="130" t="s">
        <v>30</v>
      </c>
      <c r="D54" s="338" t="str">
        <f>IF(E54='Parametre - Agendové IS'!BJ10,"OK","Chyba počtu podaní")</f>
        <v>Chyba počtu podaní</v>
      </c>
      <c r="E54" s="339">
        <f t="shared" si="1"/>
        <v>0</v>
      </c>
      <c r="F54" s="194"/>
      <c r="G54" s="194"/>
      <c r="H54" s="194"/>
      <c r="I54" s="194"/>
    </row>
    <row r="55" spans="1:9">
      <c r="A55" s="859"/>
      <c r="B55" s="861"/>
      <c r="C55" s="130" t="s">
        <v>31</v>
      </c>
      <c r="D55" s="338" t="str">
        <f>IF(E55='Parametre - Agendové IS'!BJ11,"OK","Chyba počtu podaní")</f>
        <v>Chyba počtu podaní</v>
      </c>
      <c r="E55" s="339">
        <f t="shared" si="1"/>
        <v>0</v>
      </c>
      <c r="F55" s="194"/>
      <c r="G55" s="194"/>
      <c r="H55" s="194"/>
      <c r="I55" s="194"/>
    </row>
    <row r="56" spans="1:9">
      <c r="A56" s="859"/>
      <c r="B56" s="861"/>
      <c r="C56" s="130" t="s">
        <v>32</v>
      </c>
      <c r="D56" s="338" t="str">
        <f>IF(E56='Parametre - Agendové IS'!BJ12,"OK","Chyba počtu podaní")</f>
        <v>Chyba počtu podaní</v>
      </c>
      <c r="E56" s="339">
        <f t="shared" si="1"/>
        <v>0</v>
      </c>
      <c r="F56" s="194"/>
      <c r="G56" s="194"/>
      <c r="H56" s="194"/>
      <c r="I56" s="194"/>
    </row>
    <row r="57" spans="1:9">
      <c r="A57" s="859"/>
      <c r="B57" s="861"/>
      <c r="C57" s="130" t="s">
        <v>33</v>
      </c>
      <c r="D57" s="338" t="str">
        <f>IF(E57='Parametre - Agendové IS'!BJ13,"OK","Chyba počtu podaní")</f>
        <v>Chyba počtu podaní</v>
      </c>
      <c r="E57" s="339">
        <f t="shared" si="1"/>
        <v>0</v>
      </c>
      <c r="F57" s="194"/>
      <c r="G57" s="194"/>
      <c r="H57" s="194"/>
      <c r="I57" s="194"/>
    </row>
    <row r="58" spans="1:9" ht="15.75" thickBot="1">
      <c r="A58" s="770"/>
      <c r="B58" s="862"/>
      <c r="C58" s="131" t="s">
        <v>34</v>
      </c>
      <c r="D58" s="338" t="str">
        <f>IF(E58='Parametre - Agendové IS'!BJ14,"OK","Chyba počtu podaní")</f>
        <v>Chyba počtu podaní</v>
      </c>
      <c r="E58" s="339">
        <f t="shared" si="1"/>
        <v>0</v>
      </c>
      <c r="F58" s="194"/>
      <c r="G58" s="194"/>
      <c r="H58" s="194"/>
      <c r="I58" s="194"/>
    </row>
    <row r="59" spans="1:9">
      <c r="A59" s="768" t="s">
        <v>39</v>
      </c>
      <c r="B59" s="860" t="s">
        <v>13</v>
      </c>
      <c r="C59" s="133" t="s">
        <v>25</v>
      </c>
      <c r="D59" s="337" t="str">
        <f>IF(E59='Parametre - Agendové IS'!BJ126,"OK","Chyba")</f>
        <v>OK</v>
      </c>
      <c r="E59" s="342">
        <f t="shared" si="1"/>
        <v>0</v>
      </c>
      <c r="F59" s="193"/>
      <c r="G59" s="193"/>
      <c r="H59" s="193"/>
      <c r="I59" s="193"/>
    </row>
    <row r="60" spans="1:9">
      <c r="A60" s="859"/>
      <c r="B60" s="861"/>
      <c r="C60" s="130" t="s">
        <v>26</v>
      </c>
      <c r="D60" s="338" t="str">
        <f>IF(E60='Parametre - Agendové IS'!BJ127,"OK","Chyba")</f>
        <v>OK</v>
      </c>
      <c r="E60" s="339">
        <f t="shared" si="1"/>
        <v>0</v>
      </c>
      <c r="F60" s="194"/>
      <c r="G60" s="194"/>
      <c r="H60" s="194"/>
      <c r="I60" s="194"/>
    </row>
    <row r="61" spans="1:9">
      <c r="A61" s="859"/>
      <c r="B61" s="861"/>
      <c r="C61" s="130" t="s">
        <v>27</v>
      </c>
      <c r="D61" s="338" t="str">
        <f>IF(E61='Parametre - Agendové IS'!BJ128,"OK","Chyba")</f>
        <v>OK</v>
      </c>
      <c r="E61" s="339">
        <f t="shared" si="1"/>
        <v>0</v>
      </c>
      <c r="F61" s="194"/>
      <c r="G61" s="194"/>
      <c r="H61" s="194"/>
      <c r="I61" s="194"/>
    </row>
    <row r="62" spans="1:9">
      <c r="A62" s="859"/>
      <c r="B62" s="861"/>
      <c r="C62" s="130" t="s">
        <v>28</v>
      </c>
      <c r="D62" s="338" t="str">
        <f>IF(E62='Parametre - Agendové IS'!BJ129,"OK","Chyba")</f>
        <v>OK</v>
      </c>
      <c r="E62" s="339">
        <f t="shared" si="1"/>
        <v>0</v>
      </c>
      <c r="F62" s="194"/>
      <c r="G62" s="194"/>
      <c r="H62" s="194"/>
      <c r="I62" s="194"/>
    </row>
    <row r="63" spans="1:9">
      <c r="A63" s="859"/>
      <c r="B63" s="861"/>
      <c r="C63" s="130" t="s">
        <v>29</v>
      </c>
      <c r="D63" s="338" t="str">
        <f>IF(E63='Parametre - Agendové IS'!BJ130,"OK","Chyba")</f>
        <v>OK</v>
      </c>
      <c r="E63" s="339">
        <f t="shared" si="1"/>
        <v>0</v>
      </c>
      <c r="F63" s="194"/>
      <c r="G63" s="194"/>
      <c r="H63" s="194"/>
      <c r="I63" s="194"/>
    </row>
    <row r="64" spans="1:9">
      <c r="A64" s="859"/>
      <c r="B64" s="861"/>
      <c r="C64" s="130" t="s">
        <v>30</v>
      </c>
      <c r="D64" s="338" t="str">
        <f>IF(E64='Parametre - Agendové IS'!BJ131,"OK","Chyba")</f>
        <v>OK</v>
      </c>
      <c r="E64" s="339">
        <f t="shared" si="1"/>
        <v>0</v>
      </c>
      <c r="F64" s="194"/>
      <c r="G64" s="194"/>
      <c r="H64" s="194"/>
      <c r="I64" s="194"/>
    </row>
    <row r="65" spans="1:9">
      <c r="A65" s="859"/>
      <c r="B65" s="861"/>
      <c r="C65" s="130" t="s">
        <v>31</v>
      </c>
      <c r="D65" s="338" t="str">
        <f>IF(E65='Parametre - Agendové IS'!BJ132,"OK","Chyba")</f>
        <v>OK</v>
      </c>
      <c r="E65" s="339">
        <f t="shared" si="1"/>
        <v>0</v>
      </c>
      <c r="F65" s="194"/>
      <c r="G65" s="194"/>
      <c r="H65" s="194"/>
      <c r="I65" s="194"/>
    </row>
    <row r="66" spans="1:9">
      <c r="A66" s="859"/>
      <c r="B66" s="861"/>
      <c r="C66" s="130" t="s">
        <v>32</v>
      </c>
      <c r="D66" s="338" t="str">
        <f>IF(E66='Parametre - Agendové IS'!BJ133,"OK","Chyba")</f>
        <v>OK</v>
      </c>
      <c r="E66" s="339">
        <f t="shared" si="1"/>
        <v>0</v>
      </c>
      <c r="F66" s="194"/>
      <c r="G66" s="194"/>
      <c r="H66" s="194"/>
      <c r="I66" s="194"/>
    </row>
    <row r="67" spans="1:9">
      <c r="A67" s="859"/>
      <c r="B67" s="861"/>
      <c r="C67" s="130" t="s">
        <v>33</v>
      </c>
      <c r="D67" s="338" t="str">
        <f>IF(E67='Parametre - Agendové IS'!BJ134,"OK","Chyba")</f>
        <v>OK</v>
      </c>
      <c r="E67" s="339">
        <f t="shared" si="1"/>
        <v>0</v>
      </c>
      <c r="F67" s="194"/>
      <c r="G67" s="194"/>
      <c r="H67" s="194"/>
      <c r="I67" s="194"/>
    </row>
    <row r="68" spans="1:9" ht="15.75" thickBot="1">
      <c r="A68" s="770"/>
      <c r="B68" s="862"/>
      <c r="C68" s="131" t="s">
        <v>34</v>
      </c>
      <c r="D68" s="338" t="str">
        <f>IF(E68='Parametre - Agendové IS'!BJ135,"OK","Chyba")</f>
        <v>OK</v>
      </c>
      <c r="E68" s="339">
        <f t="shared" si="1"/>
        <v>0</v>
      </c>
      <c r="F68" s="194"/>
      <c r="G68" s="194"/>
      <c r="H68" s="194"/>
      <c r="I68" s="194"/>
    </row>
    <row r="71" spans="1:9" ht="15.75" thickBot="1"/>
    <row r="72" spans="1:9">
      <c r="A72" s="863" t="str">
        <f>'Parametre - Agendové IS'!BL2</f>
        <v>Reporty a exporty pre riadenie (funkčne)</v>
      </c>
      <c r="B72" s="864"/>
      <c r="C72" s="865"/>
      <c r="D72" s="869" t="s">
        <v>104</v>
      </c>
      <c r="E72" s="870"/>
      <c r="F72" s="235" t="s">
        <v>123</v>
      </c>
      <c r="G72" s="235" t="s">
        <v>124</v>
      </c>
      <c r="H72" s="235" t="s">
        <v>125</v>
      </c>
      <c r="I72" s="235" t="s">
        <v>127</v>
      </c>
    </row>
    <row r="73" spans="1:9" ht="15.75" thickBot="1">
      <c r="A73" s="866"/>
      <c r="B73" s="867"/>
      <c r="C73" s="868"/>
      <c r="D73" s="334" t="s">
        <v>255</v>
      </c>
      <c r="E73" s="335" t="s">
        <v>126</v>
      </c>
      <c r="F73" s="132" t="s">
        <v>126</v>
      </c>
      <c r="G73" s="132" t="s">
        <v>126</v>
      </c>
      <c r="H73" s="132" t="s">
        <v>126</v>
      </c>
      <c r="I73" s="132" t="s">
        <v>126</v>
      </c>
    </row>
    <row r="74" spans="1:9">
      <c r="A74" s="768" t="s">
        <v>43</v>
      </c>
      <c r="B74" s="860" t="s">
        <v>144</v>
      </c>
      <c r="C74" s="133" t="s">
        <v>25</v>
      </c>
      <c r="D74" s="336" t="str">
        <f>IF(E74='Parametre - Agendové IS'!BM86,"OK","Chyba počtu FTE")</f>
        <v>OK</v>
      </c>
      <c r="E74" s="337">
        <f t="shared" ref="E74:E103" si="2">F74+G74+H74+I74</f>
        <v>0</v>
      </c>
      <c r="F74" s="193"/>
      <c r="G74" s="193"/>
      <c r="H74" s="193"/>
      <c r="I74" s="193"/>
    </row>
    <row r="75" spans="1:9">
      <c r="A75" s="859"/>
      <c r="B75" s="861"/>
      <c r="C75" s="130" t="s">
        <v>26</v>
      </c>
      <c r="D75" s="338" t="str">
        <f>IF(E75='Parametre - Agendové IS'!BM87,"OK","Chyba počtu FTE")</f>
        <v>OK</v>
      </c>
      <c r="E75" s="339">
        <f t="shared" si="2"/>
        <v>0</v>
      </c>
      <c r="F75" s="194"/>
      <c r="G75" s="194"/>
      <c r="H75" s="194"/>
      <c r="I75" s="194"/>
    </row>
    <row r="76" spans="1:9">
      <c r="A76" s="859"/>
      <c r="B76" s="861"/>
      <c r="C76" s="130" t="s">
        <v>27</v>
      </c>
      <c r="D76" s="338" t="str">
        <f>IF(E76='Parametre - Agendové IS'!BM88,"OK","Chyba počtu FTE")</f>
        <v>Chyba počtu FTE</v>
      </c>
      <c r="E76" s="339">
        <f t="shared" si="2"/>
        <v>0</v>
      </c>
      <c r="F76" s="194"/>
      <c r="G76" s="194"/>
      <c r="H76" s="194"/>
      <c r="I76" s="194"/>
    </row>
    <row r="77" spans="1:9">
      <c r="A77" s="859"/>
      <c r="B77" s="861"/>
      <c r="C77" s="130" t="s">
        <v>28</v>
      </c>
      <c r="D77" s="338" t="str">
        <f>IF(E77='Parametre - Agendové IS'!BM89,"OK","Chyba počtu FTE")</f>
        <v>Chyba počtu FTE</v>
      </c>
      <c r="E77" s="339">
        <f t="shared" si="2"/>
        <v>0</v>
      </c>
      <c r="F77" s="194"/>
      <c r="G77" s="194"/>
      <c r="H77" s="194"/>
      <c r="I77" s="194"/>
    </row>
    <row r="78" spans="1:9">
      <c r="A78" s="859"/>
      <c r="B78" s="861"/>
      <c r="C78" s="130" t="s">
        <v>29</v>
      </c>
      <c r="D78" s="338" t="str">
        <f>IF(E78='Parametre - Agendové IS'!BM90,"OK","Chyba počtu FTE")</f>
        <v>Chyba počtu FTE</v>
      </c>
      <c r="E78" s="339">
        <f t="shared" si="2"/>
        <v>0</v>
      </c>
      <c r="F78" s="194"/>
      <c r="G78" s="194"/>
      <c r="H78" s="194"/>
      <c r="I78" s="194"/>
    </row>
    <row r="79" spans="1:9">
      <c r="A79" s="859"/>
      <c r="B79" s="861"/>
      <c r="C79" s="130" t="s">
        <v>30</v>
      </c>
      <c r="D79" s="338" t="str">
        <f>IF(E79='Parametre - Agendové IS'!BM91,"OK","Chyba počtu FTE")</f>
        <v>Chyba počtu FTE</v>
      </c>
      <c r="E79" s="339">
        <f t="shared" si="2"/>
        <v>0</v>
      </c>
      <c r="F79" s="194"/>
      <c r="G79" s="194"/>
      <c r="H79" s="194"/>
      <c r="I79" s="194"/>
    </row>
    <row r="80" spans="1:9">
      <c r="A80" s="859"/>
      <c r="B80" s="861"/>
      <c r="C80" s="130" t="s">
        <v>31</v>
      </c>
      <c r="D80" s="338" t="str">
        <f>IF(E80='Parametre - Agendové IS'!BM92,"OK","Chyba počtu FTE")</f>
        <v>Chyba počtu FTE</v>
      </c>
      <c r="E80" s="339">
        <f t="shared" si="2"/>
        <v>0</v>
      </c>
      <c r="F80" s="194"/>
      <c r="G80" s="194"/>
      <c r="H80" s="194"/>
      <c r="I80" s="194"/>
    </row>
    <row r="81" spans="1:9">
      <c r="A81" s="859"/>
      <c r="B81" s="861"/>
      <c r="C81" s="130" t="s">
        <v>32</v>
      </c>
      <c r="D81" s="338" t="str">
        <f>IF(E81='Parametre - Agendové IS'!BM93,"OK","Chyba počtu FTE")</f>
        <v>Chyba počtu FTE</v>
      </c>
      <c r="E81" s="339">
        <f t="shared" si="2"/>
        <v>0</v>
      </c>
      <c r="F81" s="194"/>
      <c r="G81" s="194"/>
      <c r="H81" s="194"/>
      <c r="I81" s="194"/>
    </row>
    <row r="82" spans="1:9">
      <c r="A82" s="859"/>
      <c r="B82" s="861"/>
      <c r="C82" s="130" t="s">
        <v>33</v>
      </c>
      <c r="D82" s="338" t="str">
        <f>IF(E82='Parametre - Agendové IS'!BM94,"OK","Chyba počtu FTE")</f>
        <v>Chyba počtu FTE</v>
      </c>
      <c r="E82" s="339">
        <f t="shared" si="2"/>
        <v>0</v>
      </c>
      <c r="F82" s="194"/>
      <c r="G82" s="194"/>
      <c r="H82" s="194"/>
      <c r="I82" s="194"/>
    </row>
    <row r="83" spans="1:9" ht="15.75" thickBot="1">
      <c r="A83" s="859"/>
      <c r="B83" s="861"/>
      <c r="C83" s="130" t="s">
        <v>34</v>
      </c>
      <c r="D83" s="340" t="str">
        <f>IF(E83='Parametre - Agendové IS'!BM95,"OK","Chyba počtu FTE")</f>
        <v>Chyba počtu FTE</v>
      </c>
      <c r="E83" s="341">
        <f t="shared" si="2"/>
        <v>0</v>
      </c>
      <c r="F83" s="195"/>
      <c r="G83" s="195"/>
      <c r="H83" s="195"/>
      <c r="I83" s="195"/>
    </row>
    <row r="84" spans="1:9">
      <c r="A84" s="768" t="s">
        <v>41</v>
      </c>
      <c r="B84" s="860" t="s">
        <v>37</v>
      </c>
      <c r="C84" s="133" t="s">
        <v>25</v>
      </c>
      <c r="D84" s="337" t="str">
        <f>IF(E84='Parametre - Agendové IS'!BM5,"OK","Chyba počtu podaní")</f>
        <v>Chyba počtu podaní</v>
      </c>
      <c r="E84" s="342">
        <f t="shared" si="2"/>
        <v>0</v>
      </c>
      <c r="F84" s="193"/>
      <c r="G84" s="193"/>
      <c r="H84" s="193"/>
      <c r="I84" s="193"/>
    </row>
    <row r="85" spans="1:9">
      <c r="A85" s="859"/>
      <c r="B85" s="861"/>
      <c r="C85" s="130" t="s">
        <v>26</v>
      </c>
      <c r="D85" s="338" t="str">
        <f>IF(E85='Parametre - Agendové IS'!BM6,"OK","Chyba počtu podaní")</f>
        <v>Chyba počtu podaní</v>
      </c>
      <c r="E85" s="339">
        <f t="shared" si="2"/>
        <v>0</v>
      </c>
      <c r="F85" s="194"/>
      <c r="G85" s="194"/>
      <c r="H85" s="194"/>
      <c r="I85" s="194"/>
    </row>
    <row r="86" spans="1:9">
      <c r="A86" s="859"/>
      <c r="B86" s="861"/>
      <c r="C86" s="130" t="s">
        <v>27</v>
      </c>
      <c r="D86" s="338" t="str">
        <f>IF(E86='Parametre - Agendové IS'!BM7,"OK","Chyba počtu podaní")</f>
        <v>Chyba počtu podaní</v>
      </c>
      <c r="E86" s="339">
        <f t="shared" si="2"/>
        <v>0</v>
      </c>
      <c r="F86" s="194"/>
      <c r="G86" s="194"/>
      <c r="H86" s="194"/>
      <c r="I86" s="194"/>
    </row>
    <row r="87" spans="1:9">
      <c r="A87" s="859"/>
      <c r="B87" s="861"/>
      <c r="C87" s="130" t="s">
        <v>28</v>
      </c>
      <c r="D87" s="338" t="str">
        <f>IF(E87='Parametre - Agendové IS'!BM8,"OK","Chyba počtu podaní")</f>
        <v>Chyba počtu podaní</v>
      </c>
      <c r="E87" s="339">
        <f t="shared" si="2"/>
        <v>0</v>
      </c>
      <c r="F87" s="194"/>
      <c r="G87" s="194"/>
      <c r="H87" s="194"/>
      <c r="I87" s="194"/>
    </row>
    <row r="88" spans="1:9">
      <c r="A88" s="859"/>
      <c r="B88" s="861"/>
      <c r="C88" s="130" t="s">
        <v>29</v>
      </c>
      <c r="D88" s="338" t="str">
        <f>IF(E88='Parametre - Agendové IS'!BM9,"OK","Chyba počtu podaní")</f>
        <v>Chyba počtu podaní</v>
      </c>
      <c r="E88" s="339">
        <f t="shared" si="2"/>
        <v>0</v>
      </c>
      <c r="F88" s="194"/>
      <c r="G88" s="194"/>
      <c r="H88" s="194"/>
      <c r="I88" s="194"/>
    </row>
    <row r="89" spans="1:9">
      <c r="A89" s="859"/>
      <c r="B89" s="861"/>
      <c r="C89" s="130" t="s">
        <v>30</v>
      </c>
      <c r="D89" s="338" t="str">
        <f>IF(E89='Parametre - Agendové IS'!BM10,"OK","Chyba počtu podaní")</f>
        <v>Chyba počtu podaní</v>
      </c>
      <c r="E89" s="339">
        <f t="shared" si="2"/>
        <v>0</v>
      </c>
      <c r="F89" s="194"/>
      <c r="G89" s="194"/>
      <c r="H89" s="194"/>
      <c r="I89" s="194"/>
    </row>
    <row r="90" spans="1:9">
      <c r="A90" s="859"/>
      <c r="B90" s="861"/>
      <c r="C90" s="130" t="s">
        <v>31</v>
      </c>
      <c r="D90" s="338" t="str">
        <f>IF(E90='Parametre - Agendové IS'!BM11,"OK","Chyba počtu podaní")</f>
        <v>Chyba počtu podaní</v>
      </c>
      <c r="E90" s="339">
        <f t="shared" si="2"/>
        <v>0</v>
      </c>
      <c r="F90" s="194"/>
      <c r="G90" s="194"/>
      <c r="H90" s="194"/>
      <c r="I90" s="194"/>
    </row>
    <row r="91" spans="1:9">
      <c r="A91" s="859"/>
      <c r="B91" s="861"/>
      <c r="C91" s="130" t="s">
        <v>32</v>
      </c>
      <c r="D91" s="338" t="str">
        <f>IF(E91='Parametre - Agendové IS'!BM12,"OK","Chyba počtu podaní")</f>
        <v>Chyba počtu podaní</v>
      </c>
      <c r="E91" s="339">
        <f t="shared" si="2"/>
        <v>0</v>
      </c>
      <c r="F91" s="194"/>
      <c r="G91" s="194"/>
      <c r="H91" s="194"/>
      <c r="I91" s="194"/>
    </row>
    <row r="92" spans="1:9">
      <c r="A92" s="859"/>
      <c r="B92" s="861"/>
      <c r="C92" s="130" t="s">
        <v>33</v>
      </c>
      <c r="D92" s="338" t="str">
        <f>IF(E92='Parametre - Agendové IS'!BM13,"OK","Chyba počtu podaní")</f>
        <v>Chyba počtu podaní</v>
      </c>
      <c r="E92" s="339">
        <f t="shared" si="2"/>
        <v>0</v>
      </c>
      <c r="F92" s="194"/>
      <c r="G92" s="194"/>
      <c r="H92" s="194"/>
      <c r="I92" s="194"/>
    </row>
    <row r="93" spans="1:9" ht="15.75" thickBot="1">
      <c r="A93" s="770"/>
      <c r="B93" s="862"/>
      <c r="C93" s="131" t="s">
        <v>34</v>
      </c>
      <c r="D93" s="338" t="str">
        <f>IF(E93='Parametre - Agendové IS'!BM14,"OK","Chyba počtu podaní")</f>
        <v>Chyba počtu podaní</v>
      </c>
      <c r="E93" s="339">
        <f t="shared" si="2"/>
        <v>0</v>
      </c>
      <c r="F93" s="194"/>
      <c r="G93" s="194"/>
      <c r="H93" s="194"/>
      <c r="I93" s="194"/>
    </row>
    <row r="94" spans="1:9">
      <c r="A94" s="768" t="s">
        <v>39</v>
      </c>
      <c r="B94" s="860" t="s">
        <v>13</v>
      </c>
      <c r="C94" s="133" t="s">
        <v>25</v>
      </c>
      <c r="D94" s="337" t="str">
        <f>IF(E94='Parametre - Agendové IS'!BM126,"OK","Chyba")</f>
        <v>OK</v>
      </c>
      <c r="E94" s="342">
        <f t="shared" si="2"/>
        <v>0</v>
      </c>
      <c r="F94" s="193"/>
      <c r="G94" s="193"/>
      <c r="H94" s="193"/>
      <c r="I94" s="193"/>
    </row>
    <row r="95" spans="1:9">
      <c r="A95" s="859"/>
      <c r="B95" s="861"/>
      <c r="C95" s="130" t="s">
        <v>26</v>
      </c>
      <c r="D95" s="338" t="str">
        <f>IF(E95='Parametre - Agendové IS'!BM127,"OK","Chyba")</f>
        <v>OK</v>
      </c>
      <c r="E95" s="339">
        <f t="shared" si="2"/>
        <v>0</v>
      </c>
      <c r="F95" s="194"/>
      <c r="G95" s="194"/>
      <c r="H95" s="194"/>
      <c r="I95" s="194"/>
    </row>
    <row r="96" spans="1:9">
      <c r="A96" s="859"/>
      <c r="B96" s="861"/>
      <c r="C96" s="130" t="s">
        <v>27</v>
      </c>
      <c r="D96" s="338" t="str">
        <f>IF(E96='Parametre - Agendové IS'!BM128,"OK","Chyba")</f>
        <v>OK</v>
      </c>
      <c r="E96" s="339">
        <f t="shared" si="2"/>
        <v>0</v>
      </c>
      <c r="F96" s="194"/>
      <c r="G96" s="194"/>
      <c r="H96" s="194"/>
      <c r="I96" s="194"/>
    </row>
    <row r="97" spans="1:9">
      <c r="A97" s="859"/>
      <c r="B97" s="861"/>
      <c r="C97" s="130" t="s">
        <v>28</v>
      </c>
      <c r="D97" s="338" t="str">
        <f>IF(E97='Parametre - Agendové IS'!BM129,"OK","Chyba")</f>
        <v>OK</v>
      </c>
      <c r="E97" s="339">
        <f t="shared" si="2"/>
        <v>0</v>
      </c>
      <c r="F97" s="194"/>
      <c r="G97" s="194"/>
      <c r="H97" s="194"/>
      <c r="I97" s="194"/>
    </row>
    <row r="98" spans="1:9">
      <c r="A98" s="859"/>
      <c r="B98" s="861"/>
      <c r="C98" s="130" t="s">
        <v>29</v>
      </c>
      <c r="D98" s="338" t="str">
        <f>IF(E98='Parametre - Agendové IS'!BM130,"OK","Chyba")</f>
        <v>OK</v>
      </c>
      <c r="E98" s="339">
        <f t="shared" si="2"/>
        <v>0</v>
      </c>
      <c r="F98" s="194"/>
      <c r="G98" s="194"/>
      <c r="H98" s="194"/>
      <c r="I98" s="194"/>
    </row>
    <row r="99" spans="1:9">
      <c r="A99" s="859"/>
      <c r="B99" s="861"/>
      <c r="C99" s="130" t="s">
        <v>30</v>
      </c>
      <c r="D99" s="338" t="str">
        <f>IF(E99='Parametre - Agendové IS'!BM131,"OK","Chyba")</f>
        <v>OK</v>
      </c>
      <c r="E99" s="339">
        <f t="shared" si="2"/>
        <v>0</v>
      </c>
      <c r="F99" s="194"/>
      <c r="G99" s="194"/>
      <c r="H99" s="194"/>
      <c r="I99" s="194"/>
    </row>
    <row r="100" spans="1:9">
      <c r="A100" s="859"/>
      <c r="B100" s="861"/>
      <c r="C100" s="130" t="s">
        <v>31</v>
      </c>
      <c r="D100" s="338" t="str">
        <f>IF(E100='Parametre - Agendové IS'!BM132,"OK","Chyba")</f>
        <v>OK</v>
      </c>
      <c r="E100" s="339">
        <f t="shared" si="2"/>
        <v>0</v>
      </c>
      <c r="F100" s="194"/>
      <c r="G100" s="194"/>
      <c r="H100" s="194"/>
      <c r="I100" s="194"/>
    </row>
    <row r="101" spans="1:9">
      <c r="A101" s="859"/>
      <c r="B101" s="861"/>
      <c r="C101" s="130" t="s">
        <v>32</v>
      </c>
      <c r="D101" s="338" t="str">
        <f>IF(E101='Parametre - Agendové IS'!BM133,"OK","Chyba")</f>
        <v>OK</v>
      </c>
      <c r="E101" s="339">
        <f t="shared" si="2"/>
        <v>0</v>
      </c>
      <c r="F101" s="194"/>
      <c r="G101" s="194"/>
      <c r="H101" s="194"/>
      <c r="I101" s="194"/>
    </row>
    <row r="102" spans="1:9">
      <c r="A102" s="859"/>
      <c r="B102" s="861"/>
      <c r="C102" s="130" t="s">
        <v>33</v>
      </c>
      <c r="D102" s="338" t="str">
        <f>IF(E102='Parametre - Agendové IS'!BM134,"OK","Chyba")</f>
        <v>OK</v>
      </c>
      <c r="E102" s="339">
        <f t="shared" si="2"/>
        <v>0</v>
      </c>
      <c r="F102" s="194"/>
      <c r="G102" s="194"/>
      <c r="H102" s="194"/>
      <c r="I102" s="194"/>
    </row>
    <row r="103" spans="1:9" ht="15.75" thickBot="1">
      <c r="A103" s="770"/>
      <c r="B103" s="862"/>
      <c r="C103" s="131" t="s">
        <v>34</v>
      </c>
      <c r="D103" s="338" t="str">
        <f>IF(E103='Parametre - Agendové IS'!BM135,"OK","Chyba")</f>
        <v>OK</v>
      </c>
      <c r="E103" s="339">
        <f t="shared" si="2"/>
        <v>0</v>
      </c>
      <c r="F103" s="194"/>
      <c r="G103" s="194"/>
      <c r="H103" s="194"/>
      <c r="I103" s="194"/>
    </row>
    <row r="106" spans="1:9" ht="15.75" thickBot="1"/>
    <row r="107" spans="1:9">
      <c r="A107" s="863">
        <f>'Parametre - Agendové IS'!BO2</f>
        <v>0</v>
      </c>
      <c r="B107" s="864"/>
      <c r="C107" s="865"/>
      <c r="D107" s="869" t="s">
        <v>104</v>
      </c>
      <c r="E107" s="870"/>
      <c r="F107" s="235" t="s">
        <v>123</v>
      </c>
      <c r="G107" s="235" t="s">
        <v>124</v>
      </c>
      <c r="H107" s="235" t="s">
        <v>125</v>
      </c>
      <c r="I107" s="235" t="s">
        <v>127</v>
      </c>
    </row>
    <row r="108" spans="1:9" ht="15.75" thickBot="1">
      <c r="A108" s="866"/>
      <c r="B108" s="867"/>
      <c r="C108" s="868"/>
      <c r="D108" s="334" t="s">
        <v>255</v>
      </c>
      <c r="E108" s="335" t="s">
        <v>126</v>
      </c>
      <c r="F108" s="132" t="s">
        <v>126</v>
      </c>
      <c r="G108" s="132" t="s">
        <v>126</v>
      </c>
      <c r="H108" s="132" t="s">
        <v>126</v>
      </c>
      <c r="I108" s="132" t="s">
        <v>126</v>
      </c>
    </row>
    <row r="109" spans="1:9">
      <c r="A109" s="768" t="s">
        <v>43</v>
      </c>
      <c r="B109" s="860" t="s">
        <v>144</v>
      </c>
      <c r="C109" s="133" t="s">
        <v>25</v>
      </c>
      <c r="D109" s="336" t="str">
        <f>IF(E109='Parametre - Agendové IS'!BP86,"OK","Chyba počtu FTE")</f>
        <v>OK</v>
      </c>
      <c r="E109" s="337">
        <f t="shared" ref="E109:E138" si="3">F109+G109+H109+I109</f>
        <v>0</v>
      </c>
      <c r="F109" s="193"/>
      <c r="G109" s="193"/>
      <c r="H109" s="193"/>
      <c r="I109" s="193"/>
    </row>
    <row r="110" spans="1:9">
      <c r="A110" s="859"/>
      <c r="B110" s="861"/>
      <c r="C110" s="130" t="s">
        <v>26</v>
      </c>
      <c r="D110" s="338" t="str">
        <f>IF(E110='Parametre - Agendové IS'!BP87,"OK","Chyba počtu FTE")</f>
        <v>OK</v>
      </c>
      <c r="E110" s="339">
        <f t="shared" si="3"/>
        <v>0</v>
      </c>
      <c r="F110" s="194"/>
      <c r="G110" s="194"/>
      <c r="H110" s="194"/>
      <c r="I110" s="194"/>
    </row>
    <row r="111" spans="1:9">
      <c r="A111" s="859"/>
      <c r="B111" s="861"/>
      <c r="C111" s="130" t="s">
        <v>27</v>
      </c>
      <c r="D111" s="338" t="str">
        <f>IF(E111='Parametre - Agendové IS'!BP88,"OK","Chyba počtu FTE")</f>
        <v>OK</v>
      </c>
      <c r="E111" s="339">
        <f t="shared" si="3"/>
        <v>0</v>
      </c>
      <c r="F111" s="194"/>
      <c r="G111" s="194"/>
      <c r="H111" s="194"/>
      <c r="I111" s="194"/>
    </row>
    <row r="112" spans="1:9">
      <c r="A112" s="859"/>
      <c r="B112" s="861"/>
      <c r="C112" s="130" t="s">
        <v>28</v>
      </c>
      <c r="D112" s="338" t="str">
        <f>IF(E112='Parametre - Agendové IS'!BP89,"OK","Chyba počtu FTE")</f>
        <v>OK</v>
      </c>
      <c r="E112" s="339">
        <f t="shared" si="3"/>
        <v>0</v>
      </c>
      <c r="F112" s="194"/>
      <c r="G112" s="194"/>
      <c r="H112" s="194"/>
      <c r="I112" s="194"/>
    </row>
    <row r="113" spans="1:9">
      <c r="A113" s="859"/>
      <c r="B113" s="861"/>
      <c r="C113" s="130" t="s">
        <v>29</v>
      </c>
      <c r="D113" s="338" t="str">
        <f>IF(E113='Parametre - Agendové IS'!BP90,"OK","Chyba počtu FTE")</f>
        <v>OK</v>
      </c>
      <c r="E113" s="339">
        <f t="shared" si="3"/>
        <v>0</v>
      </c>
      <c r="F113" s="194"/>
      <c r="G113" s="194"/>
      <c r="H113" s="194"/>
      <c r="I113" s="194"/>
    </row>
    <row r="114" spans="1:9">
      <c r="A114" s="859"/>
      <c r="B114" s="861"/>
      <c r="C114" s="130" t="s">
        <v>30</v>
      </c>
      <c r="D114" s="338" t="str">
        <f>IF(E114='Parametre - Agendové IS'!BP91,"OK","Chyba počtu FTE")</f>
        <v>OK</v>
      </c>
      <c r="E114" s="339">
        <f t="shared" si="3"/>
        <v>0</v>
      </c>
      <c r="F114" s="194"/>
      <c r="G114" s="194"/>
      <c r="H114" s="194"/>
      <c r="I114" s="194"/>
    </row>
    <row r="115" spans="1:9">
      <c r="A115" s="859"/>
      <c r="B115" s="861"/>
      <c r="C115" s="130" t="s">
        <v>31</v>
      </c>
      <c r="D115" s="338" t="str">
        <f>IF(E115='Parametre - Agendové IS'!BP92,"OK","Chyba počtu FTE")</f>
        <v>OK</v>
      </c>
      <c r="E115" s="339">
        <f t="shared" si="3"/>
        <v>0</v>
      </c>
      <c r="F115" s="194"/>
      <c r="G115" s="194"/>
      <c r="H115" s="194"/>
      <c r="I115" s="194"/>
    </row>
    <row r="116" spans="1:9">
      <c r="A116" s="859"/>
      <c r="B116" s="861"/>
      <c r="C116" s="130" t="s">
        <v>32</v>
      </c>
      <c r="D116" s="338" t="str">
        <f>IF(E116='Parametre - Agendové IS'!BP93,"OK","Chyba počtu FTE")</f>
        <v>OK</v>
      </c>
      <c r="E116" s="339">
        <f t="shared" si="3"/>
        <v>0</v>
      </c>
      <c r="F116" s="194"/>
      <c r="G116" s="194"/>
      <c r="H116" s="194"/>
      <c r="I116" s="194"/>
    </row>
    <row r="117" spans="1:9">
      <c r="A117" s="859"/>
      <c r="B117" s="861"/>
      <c r="C117" s="130" t="s">
        <v>33</v>
      </c>
      <c r="D117" s="338" t="str">
        <f>IF(E117='Parametre - Agendové IS'!BP94,"OK","Chyba počtu FTE")</f>
        <v>OK</v>
      </c>
      <c r="E117" s="339">
        <f t="shared" si="3"/>
        <v>0</v>
      </c>
      <c r="F117" s="194"/>
      <c r="G117" s="194"/>
      <c r="H117" s="194"/>
      <c r="I117" s="194"/>
    </row>
    <row r="118" spans="1:9" ht="15.75" thickBot="1">
      <c r="A118" s="859"/>
      <c r="B118" s="861"/>
      <c r="C118" s="130" t="s">
        <v>34</v>
      </c>
      <c r="D118" s="340" t="str">
        <f>IF(E118='Parametre - Agendové IS'!BP95,"OK","Chyba počtu FTE")</f>
        <v>OK</v>
      </c>
      <c r="E118" s="341">
        <f t="shared" si="3"/>
        <v>0</v>
      </c>
      <c r="F118" s="195"/>
      <c r="G118" s="195"/>
      <c r="H118" s="195"/>
      <c r="I118" s="195"/>
    </row>
    <row r="119" spans="1:9">
      <c r="A119" s="768" t="s">
        <v>41</v>
      </c>
      <c r="B119" s="860" t="s">
        <v>37</v>
      </c>
      <c r="C119" s="133" t="s">
        <v>25</v>
      </c>
      <c r="D119" s="337" t="str">
        <f>IF(E119='Parametre - Agendové IS'!BP5,"OK","Chyba počtu podaní")</f>
        <v>OK</v>
      </c>
      <c r="E119" s="342">
        <f t="shared" si="3"/>
        <v>0</v>
      </c>
      <c r="F119" s="193"/>
      <c r="G119" s="193"/>
      <c r="H119" s="193"/>
      <c r="I119" s="193"/>
    </row>
    <row r="120" spans="1:9">
      <c r="A120" s="859"/>
      <c r="B120" s="861"/>
      <c r="C120" s="130" t="s">
        <v>26</v>
      </c>
      <c r="D120" s="338" t="str">
        <f>IF(E120='Parametre - Agendové IS'!BP6,"OK","Chyba počtu podaní")</f>
        <v>OK</v>
      </c>
      <c r="E120" s="339">
        <f t="shared" si="3"/>
        <v>0</v>
      </c>
      <c r="F120" s="194"/>
      <c r="G120" s="194"/>
      <c r="H120" s="194"/>
      <c r="I120" s="194"/>
    </row>
    <row r="121" spans="1:9">
      <c r="A121" s="859"/>
      <c r="B121" s="861"/>
      <c r="C121" s="130" t="s">
        <v>27</v>
      </c>
      <c r="D121" s="338" t="str">
        <f>IF(E121='Parametre - Agendové IS'!BP7,"OK","Chyba počtu podaní")</f>
        <v>OK</v>
      </c>
      <c r="E121" s="339">
        <f t="shared" si="3"/>
        <v>0</v>
      </c>
      <c r="F121" s="194"/>
      <c r="G121" s="194"/>
      <c r="H121" s="194"/>
      <c r="I121" s="194"/>
    </row>
    <row r="122" spans="1:9">
      <c r="A122" s="859"/>
      <c r="B122" s="861"/>
      <c r="C122" s="130" t="s">
        <v>28</v>
      </c>
      <c r="D122" s="338" t="str">
        <f>IF(E122='Parametre - Agendové IS'!BP8,"OK","Chyba počtu podaní")</f>
        <v>OK</v>
      </c>
      <c r="E122" s="339">
        <f t="shared" si="3"/>
        <v>0</v>
      </c>
      <c r="F122" s="194"/>
      <c r="G122" s="194"/>
      <c r="H122" s="194"/>
      <c r="I122" s="194"/>
    </row>
    <row r="123" spans="1:9">
      <c r="A123" s="859"/>
      <c r="B123" s="861"/>
      <c r="C123" s="130" t="s">
        <v>29</v>
      </c>
      <c r="D123" s="338" t="str">
        <f>IF(E123='Parametre - Agendové IS'!BP9,"OK","Chyba počtu podaní")</f>
        <v>OK</v>
      </c>
      <c r="E123" s="339">
        <f t="shared" si="3"/>
        <v>0</v>
      </c>
      <c r="F123" s="194"/>
      <c r="G123" s="194"/>
      <c r="H123" s="194"/>
      <c r="I123" s="194"/>
    </row>
    <row r="124" spans="1:9">
      <c r="A124" s="859"/>
      <c r="B124" s="861"/>
      <c r="C124" s="130" t="s">
        <v>30</v>
      </c>
      <c r="D124" s="338" t="str">
        <f>IF(E124='Parametre - Agendové IS'!BP10,"OK","Chyba počtu podaní")</f>
        <v>OK</v>
      </c>
      <c r="E124" s="339">
        <f t="shared" si="3"/>
        <v>0</v>
      </c>
      <c r="F124" s="194"/>
      <c r="G124" s="194"/>
      <c r="H124" s="194"/>
      <c r="I124" s="194"/>
    </row>
    <row r="125" spans="1:9">
      <c r="A125" s="859"/>
      <c r="B125" s="861"/>
      <c r="C125" s="130" t="s">
        <v>31</v>
      </c>
      <c r="D125" s="338" t="str">
        <f>IF(E125='Parametre - Agendové IS'!BP11,"OK","Chyba počtu podaní")</f>
        <v>OK</v>
      </c>
      <c r="E125" s="339">
        <f t="shared" si="3"/>
        <v>0</v>
      </c>
      <c r="F125" s="194"/>
      <c r="G125" s="194"/>
      <c r="H125" s="194"/>
      <c r="I125" s="194"/>
    </row>
    <row r="126" spans="1:9">
      <c r="A126" s="859"/>
      <c r="B126" s="861"/>
      <c r="C126" s="130" t="s">
        <v>32</v>
      </c>
      <c r="D126" s="338" t="str">
        <f>IF(E126='Parametre - Agendové IS'!BP12,"OK","Chyba počtu podaní")</f>
        <v>OK</v>
      </c>
      <c r="E126" s="339">
        <f t="shared" si="3"/>
        <v>0</v>
      </c>
      <c r="F126" s="194"/>
      <c r="G126" s="194"/>
      <c r="H126" s="194"/>
      <c r="I126" s="194"/>
    </row>
    <row r="127" spans="1:9">
      <c r="A127" s="859"/>
      <c r="B127" s="861"/>
      <c r="C127" s="130" t="s">
        <v>33</v>
      </c>
      <c r="D127" s="338" t="str">
        <f>IF(E127='Parametre - Agendové IS'!BP13,"OK","Chyba počtu podaní")</f>
        <v>OK</v>
      </c>
      <c r="E127" s="339">
        <f t="shared" si="3"/>
        <v>0</v>
      </c>
      <c r="F127" s="194"/>
      <c r="G127" s="194"/>
      <c r="H127" s="194"/>
      <c r="I127" s="194"/>
    </row>
    <row r="128" spans="1:9" ht="15.75" thickBot="1">
      <c r="A128" s="770"/>
      <c r="B128" s="862"/>
      <c r="C128" s="131" t="s">
        <v>34</v>
      </c>
      <c r="D128" s="338" t="str">
        <f>IF(E128='Parametre - Agendové IS'!BP14,"OK","Chyba počtu podaní")</f>
        <v>OK</v>
      </c>
      <c r="E128" s="339">
        <f t="shared" si="3"/>
        <v>0</v>
      </c>
      <c r="F128" s="194"/>
      <c r="G128" s="194"/>
      <c r="H128" s="194"/>
      <c r="I128" s="194"/>
    </row>
    <row r="129" spans="1:9">
      <c r="A129" s="768" t="s">
        <v>39</v>
      </c>
      <c r="B129" s="860" t="s">
        <v>13</v>
      </c>
      <c r="C129" s="133" t="s">
        <v>25</v>
      </c>
      <c r="D129" s="337" t="str">
        <f>IF(E129='Parametre - Agendové IS'!BP126,"OK","Chyba")</f>
        <v>OK</v>
      </c>
      <c r="E129" s="342">
        <f t="shared" si="3"/>
        <v>0</v>
      </c>
      <c r="F129" s="193"/>
      <c r="G129" s="193"/>
      <c r="H129" s="193"/>
      <c r="I129" s="193"/>
    </row>
    <row r="130" spans="1:9">
      <c r="A130" s="859"/>
      <c r="B130" s="861"/>
      <c r="C130" s="130" t="s">
        <v>26</v>
      </c>
      <c r="D130" s="338" t="str">
        <f>IF(E130='Parametre - Agendové IS'!BP127,"OK","Chyba")</f>
        <v>OK</v>
      </c>
      <c r="E130" s="339">
        <f t="shared" si="3"/>
        <v>0</v>
      </c>
      <c r="F130" s="194"/>
      <c r="G130" s="194"/>
      <c r="H130" s="194"/>
      <c r="I130" s="194"/>
    </row>
    <row r="131" spans="1:9">
      <c r="A131" s="859"/>
      <c r="B131" s="861"/>
      <c r="C131" s="130" t="s">
        <v>27</v>
      </c>
      <c r="D131" s="338" t="str">
        <f>IF(E131='Parametre - Agendové IS'!BP128,"OK","Chyba")</f>
        <v>OK</v>
      </c>
      <c r="E131" s="339">
        <f t="shared" si="3"/>
        <v>0</v>
      </c>
      <c r="F131" s="194"/>
      <c r="G131" s="194"/>
      <c r="H131" s="194"/>
      <c r="I131" s="194"/>
    </row>
    <row r="132" spans="1:9">
      <c r="A132" s="859"/>
      <c r="B132" s="861"/>
      <c r="C132" s="130" t="s">
        <v>28</v>
      </c>
      <c r="D132" s="338" t="str">
        <f>IF(E132='Parametre - Agendové IS'!BP129,"OK","Chyba")</f>
        <v>OK</v>
      </c>
      <c r="E132" s="339">
        <f t="shared" si="3"/>
        <v>0</v>
      </c>
      <c r="F132" s="194"/>
      <c r="G132" s="194"/>
      <c r="H132" s="194"/>
      <c r="I132" s="194"/>
    </row>
    <row r="133" spans="1:9">
      <c r="A133" s="859"/>
      <c r="B133" s="861"/>
      <c r="C133" s="130" t="s">
        <v>29</v>
      </c>
      <c r="D133" s="338" t="str">
        <f>IF(E133='Parametre - Agendové IS'!BP130,"OK","Chyba")</f>
        <v>OK</v>
      </c>
      <c r="E133" s="339">
        <f t="shared" si="3"/>
        <v>0</v>
      </c>
      <c r="F133" s="194"/>
      <c r="G133" s="194"/>
      <c r="H133" s="194"/>
      <c r="I133" s="194"/>
    </row>
    <row r="134" spans="1:9">
      <c r="A134" s="859"/>
      <c r="B134" s="861"/>
      <c r="C134" s="130" t="s">
        <v>30</v>
      </c>
      <c r="D134" s="338" t="str">
        <f>IF(E134='Parametre - Agendové IS'!BP131,"OK","Chyba")</f>
        <v>OK</v>
      </c>
      <c r="E134" s="339">
        <f t="shared" si="3"/>
        <v>0</v>
      </c>
      <c r="F134" s="194"/>
      <c r="G134" s="194"/>
      <c r="H134" s="194"/>
      <c r="I134" s="194"/>
    </row>
    <row r="135" spans="1:9">
      <c r="A135" s="859"/>
      <c r="B135" s="861"/>
      <c r="C135" s="130" t="s">
        <v>31</v>
      </c>
      <c r="D135" s="338" t="str">
        <f>IF(E135='Parametre - Agendové IS'!BP132,"OK","Chyba")</f>
        <v>OK</v>
      </c>
      <c r="E135" s="339">
        <f t="shared" si="3"/>
        <v>0</v>
      </c>
      <c r="F135" s="194"/>
      <c r="G135" s="194"/>
      <c r="H135" s="194"/>
      <c r="I135" s="194"/>
    </row>
    <row r="136" spans="1:9">
      <c r="A136" s="859"/>
      <c r="B136" s="861"/>
      <c r="C136" s="130" t="s">
        <v>32</v>
      </c>
      <c r="D136" s="338" t="str">
        <f>IF(E136='Parametre - Agendové IS'!BP133,"OK","Chyba")</f>
        <v>OK</v>
      </c>
      <c r="E136" s="339">
        <f t="shared" si="3"/>
        <v>0</v>
      </c>
      <c r="F136" s="194"/>
      <c r="G136" s="194"/>
      <c r="H136" s="194"/>
      <c r="I136" s="194"/>
    </row>
    <row r="137" spans="1:9">
      <c r="A137" s="859"/>
      <c r="B137" s="861"/>
      <c r="C137" s="130" t="s">
        <v>33</v>
      </c>
      <c r="D137" s="338" t="str">
        <f>IF(E137='Parametre - Agendové IS'!BP134,"OK","Chyba")</f>
        <v>OK</v>
      </c>
      <c r="E137" s="339">
        <f t="shared" si="3"/>
        <v>0</v>
      </c>
      <c r="F137" s="194"/>
      <c r="G137" s="194"/>
      <c r="H137" s="194"/>
      <c r="I137" s="194"/>
    </row>
    <row r="138" spans="1:9" ht="15.75" thickBot="1">
      <c r="A138" s="770"/>
      <c r="B138" s="862"/>
      <c r="C138" s="131" t="s">
        <v>34</v>
      </c>
      <c r="D138" s="338" t="str">
        <f>IF(E138='Parametre - Agendové IS'!BP135,"OK","Chyba")</f>
        <v>OK</v>
      </c>
      <c r="E138" s="339">
        <f t="shared" si="3"/>
        <v>0</v>
      </c>
      <c r="F138" s="194"/>
      <c r="G138" s="194"/>
      <c r="H138" s="194"/>
      <c r="I138" s="194"/>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3">
    <tabColor theme="0" tint="-0.34998626667073579"/>
  </sheetPr>
  <dimension ref="A1:V22"/>
  <sheetViews>
    <sheetView workbookViewId="0">
      <pane xSplit="6" ySplit="2" topLeftCell="G3" activePane="bottomRight" state="frozen"/>
      <selection pane="topRight" activeCell="G1" sqref="G1"/>
      <selection pane="bottomLeft" activeCell="A3" sqref="A3"/>
      <selection pane="bottomRight" activeCell="K20" sqref="K20"/>
    </sheetView>
  </sheetViews>
  <sheetFormatPr defaultColWidth="8.85546875" defaultRowHeight="12.75"/>
  <cols>
    <col min="1" max="1" width="15.28515625" style="508" bestFit="1" customWidth="1"/>
    <col min="2" max="2" width="19.28515625" style="508" bestFit="1" customWidth="1"/>
    <col min="3" max="4" width="12.85546875" style="508" customWidth="1"/>
    <col min="5" max="5" width="12.7109375" style="508" bestFit="1" customWidth="1"/>
    <col min="6" max="6" width="6.7109375" style="508" customWidth="1"/>
    <col min="7" max="7" width="13.140625" style="508" customWidth="1"/>
    <col min="8" max="8" width="11.7109375" style="508" customWidth="1"/>
    <col min="9" max="13" width="8.42578125" style="508" customWidth="1"/>
    <col min="14" max="14" width="10.42578125" style="508" customWidth="1"/>
    <col min="15" max="15" width="13.7109375" style="508" customWidth="1"/>
    <col min="16" max="16" width="12.42578125" style="508" customWidth="1"/>
    <col min="17" max="17" width="13.7109375" style="508" customWidth="1"/>
    <col min="18" max="19" width="12.42578125" style="508" customWidth="1"/>
    <col min="20" max="20" width="13.7109375" style="508" customWidth="1"/>
    <col min="21" max="22" width="13.42578125" style="508" customWidth="1"/>
    <col min="23" max="16384" width="8.85546875" style="508"/>
  </cols>
  <sheetData>
    <row r="1" spans="1:22" s="501" customFormat="1" ht="14.45" customHeight="1">
      <c r="A1" s="725" t="s">
        <v>460</v>
      </c>
      <c r="B1" s="725" t="s">
        <v>461</v>
      </c>
      <c r="C1" s="725" t="s">
        <v>415</v>
      </c>
      <c r="D1" s="733" t="s">
        <v>740</v>
      </c>
      <c r="E1" s="729" t="s">
        <v>463</v>
      </c>
      <c r="F1" s="730"/>
      <c r="G1" s="725" t="s">
        <v>415</v>
      </c>
      <c r="H1" s="726" t="s">
        <v>470</v>
      </c>
      <c r="I1" s="727"/>
      <c r="J1" s="727"/>
      <c r="K1" s="727"/>
      <c r="L1" s="728"/>
      <c r="M1" s="651"/>
      <c r="N1" s="651"/>
      <c r="O1" s="722" t="s">
        <v>471</v>
      </c>
      <c r="P1" s="722"/>
      <c r="Q1" s="722"/>
      <c r="R1" s="722"/>
      <c r="S1" s="722"/>
      <c r="T1" s="722"/>
      <c r="U1" s="720" t="s">
        <v>676</v>
      </c>
      <c r="V1" s="721"/>
    </row>
    <row r="2" spans="1:22" s="501" customFormat="1" ht="38.25">
      <c r="A2" s="725"/>
      <c r="B2" s="725"/>
      <c r="C2" s="725"/>
      <c r="D2" s="734"/>
      <c r="E2" s="731"/>
      <c r="F2" s="732"/>
      <c r="G2" s="725"/>
      <c r="H2" s="502" t="s">
        <v>472</v>
      </c>
      <c r="I2" s="503" t="s">
        <v>669</v>
      </c>
      <c r="J2" s="503" t="s">
        <v>670</v>
      </c>
      <c r="K2" s="503" t="s">
        <v>741</v>
      </c>
      <c r="L2" s="503" t="s">
        <v>742</v>
      </c>
      <c r="M2" s="503" t="s">
        <v>764</v>
      </c>
      <c r="N2" s="503" t="s">
        <v>765</v>
      </c>
      <c r="O2" s="503" t="s">
        <v>669</v>
      </c>
      <c r="P2" s="503" t="s">
        <v>675</v>
      </c>
      <c r="Q2" s="503" t="s">
        <v>670</v>
      </c>
      <c r="R2" s="503" t="s">
        <v>675</v>
      </c>
      <c r="S2" s="503" t="s">
        <v>741</v>
      </c>
      <c r="T2" s="503" t="s">
        <v>742</v>
      </c>
      <c r="U2" s="503" t="s">
        <v>669</v>
      </c>
      <c r="V2" s="503" t="s">
        <v>670</v>
      </c>
    </row>
    <row r="3" spans="1:22">
      <c r="A3" s="735" t="s">
        <v>770</v>
      </c>
      <c r="B3" s="735" t="s">
        <v>462</v>
      </c>
      <c r="C3" s="738">
        <f>'TCO TO BE- SW'!E36</f>
        <v>6745902.0899999999</v>
      </c>
      <c r="D3" s="638" t="s">
        <v>743</v>
      </c>
      <c r="E3" s="723" t="s">
        <v>468</v>
      </c>
      <c r="F3" s="724"/>
      <c r="G3" s="505">
        <f>SUM('TCO TO BE- SW'!E47:E56,'TCO TO BE- SW'!E67:E76)</f>
        <v>0</v>
      </c>
      <c r="H3" s="506" t="str">
        <f t="shared" ref="H3:H21" si="0">IF(SUM(I3:L3)=0,"",SUM(I3:L3))</f>
        <v/>
      </c>
      <c r="I3" s="612"/>
      <c r="J3" s="612"/>
      <c r="K3" s="612"/>
      <c r="L3" s="612"/>
      <c r="M3" s="612"/>
      <c r="N3" s="612"/>
      <c r="O3" s="507">
        <f>$G3*I3</f>
        <v>0</v>
      </c>
      <c r="P3" s="616"/>
      <c r="Q3" s="507">
        <f t="shared" ref="Q3:Q21" si="1">$G3*J3</f>
        <v>0</v>
      </c>
      <c r="R3" s="616"/>
      <c r="S3" s="507">
        <f>$G3*K3</f>
        <v>0</v>
      </c>
      <c r="T3" s="507">
        <f>$G3*L3</f>
        <v>0</v>
      </c>
      <c r="U3" s="506">
        <f>IFERROR(P3/O3,0)</f>
        <v>0</v>
      </c>
      <c r="V3" s="506">
        <f>IFERROR(R3/Q3,0)</f>
        <v>0</v>
      </c>
    </row>
    <row r="4" spans="1:22">
      <c r="A4" s="736"/>
      <c r="B4" s="736"/>
      <c r="C4" s="738"/>
      <c r="D4" s="638" t="s">
        <v>744</v>
      </c>
      <c r="E4" s="723" t="s">
        <v>468</v>
      </c>
      <c r="F4" s="724"/>
      <c r="G4" s="505">
        <f>SUM('TCO TO BE- SW'!E37:E46)</f>
        <v>6373765.2899999991</v>
      </c>
      <c r="H4" s="506">
        <f t="shared" si="0"/>
        <v>1</v>
      </c>
      <c r="I4" s="612"/>
      <c r="J4" s="612"/>
      <c r="K4" s="612"/>
      <c r="L4" s="612">
        <v>1</v>
      </c>
      <c r="M4" s="612"/>
      <c r="N4" s="612"/>
      <c r="O4" s="507">
        <f t="shared" ref="O4:O21" si="2">$G4*I4</f>
        <v>0</v>
      </c>
      <c r="P4" s="616"/>
      <c r="Q4" s="507">
        <f t="shared" si="1"/>
        <v>0</v>
      </c>
      <c r="R4" s="616"/>
      <c r="S4" s="507">
        <f t="shared" ref="S4:S21" si="3">$G4*K4</f>
        <v>0</v>
      </c>
      <c r="T4" s="507">
        <f t="shared" ref="T4:T21" si="4">$G4*L4</f>
        <v>6373765.2899999991</v>
      </c>
      <c r="U4" s="506">
        <f t="shared" ref="U4:U21" si="5">IFERROR(P4/O4,0)</f>
        <v>0</v>
      </c>
      <c r="V4" s="506">
        <f t="shared" ref="V4:V21" si="6">IFERROR(R4/Q4,0)</f>
        <v>0</v>
      </c>
    </row>
    <row r="5" spans="1:22">
      <c r="A5" s="736"/>
      <c r="B5" s="737"/>
      <c r="C5" s="738"/>
      <c r="D5" s="638" t="s">
        <v>743</v>
      </c>
      <c r="E5" s="723" t="s">
        <v>469</v>
      </c>
      <c r="F5" s="724"/>
      <c r="G5" s="505">
        <f>SUM('TCO TO BE- SW'!E57:E66)</f>
        <v>372136.80000000005</v>
      </c>
      <c r="H5" s="506">
        <f t="shared" si="0"/>
        <v>1</v>
      </c>
      <c r="I5" s="612"/>
      <c r="J5" s="612"/>
      <c r="K5" s="612">
        <v>1</v>
      </c>
      <c r="L5" s="612"/>
      <c r="M5" s="612"/>
      <c r="N5" s="612"/>
      <c r="O5" s="507">
        <f t="shared" si="2"/>
        <v>0</v>
      </c>
      <c r="P5" s="616"/>
      <c r="Q5" s="507">
        <f t="shared" si="1"/>
        <v>0</v>
      </c>
      <c r="R5" s="616"/>
      <c r="S5" s="507">
        <f t="shared" si="3"/>
        <v>372136.80000000005</v>
      </c>
      <c r="T5" s="507">
        <f t="shared" si="4"/>
        <v>0</v>
      </c>
      <c r="U5" s="506">
        <f t="shared" si="5"/>
        <v>0</v>
      </c>
      <c r="V5" s="506">
        <f t="shared" si="6"/>
        <v>0</v>
      </c>
    </row>
    <row r="6" spans="1:22">
      <c r="A6" s="736"/>
      <c r="B6" s="735" t="s">
        <v>467</v>
      </c>
      <c r="C6" s="738">
        <f>'TCO TO BE - HW'!E4+'TCO TO BE- SW'!E5</f>
        <v>4400000</v>
      </c>
      <c r="D6" s="638" t="s">
        <v>743</v>
      </c>
      <c r="E6" s="723" t="s">
        <v>468</v>
      </c>
      <c r="F6" s="724"/>
      <c r="G6" s="505">
        <f>SUM('TCO TO BE- SW'!E26:E35)+SUM('TCO TO BE - HW'!E15:E34)+SUM('TCO TO BE - HW'!E45:E54)</f>
        <v>0</v>
      </c>
      <c r="H6" s="506" t="str">
        <f t="shared" si="0"/>
        <v/>
      </c>
      <c r="I6" s="612"/>
      <c r="J6" s="612"/>
      <c r="K6" s="612"/>
      <c r="L6" s="612"/>
      <c r="M6" s="612"/>
      <c r="N6" s="612"/>
      <c r="O6" s="507">
        <f t="shared" si="2"/>
        <v>0</v>
      </c>
      <c r="P6" s="616"/>
      <c r="Q6" s="507">
        <f t="shared" si="1"/>
        <v>0</v>
      </c>
      <c r="R6" s="616"/>
      <c r="S6" s="507">
        <f t="shared" si="3"/>
        <v>0</v>
      </c>
      <c r="T6" s="507">
        <f t="shared" si="4"/>
        <v>0</v>
      </c>
      <c r="U6" s="506">
        <f t="shared" si="5"/>
        <v>0</v>
      </c>
      <c r="V6" s="506">
        <f t="shared" si="6"/>
        <v>0</v>
      </c>
    </row>
    <row r="7" spans="1:22">
      <c r="A7" s="736"/>
      <c r="B7" s="736"/>
      <c r="C7" s="738"/>
      <c r="D7" s="638" t="s">
        <v>744</v>
      </c>
      <c r="E7" s="723" t="s">
        <v>468</v>
      </c>
      <c r="F7" s="724"/>
      <c r="G7" s="505">
        <f>SUM('TCO TO BE- SW'!E6:E15)+SUM('TCO TO BE - HW'!E5:E14)</f>
        <v>4400000</v>
      </c>
      <c r="H7" s="506">
        <f t="shared" si="0"/>
        <v>1</v>
      </c>
      <c r="I7" s="612"/>
      <c r="J7" s="612"/>
      <c r="K7" s="612"/>
      <c r="L7" s="612">
        <v>1</v>
      </c>
      <c r="M7" s="612"/>
      <c r="N7" s="612"/>
      <c r="O7" s="507">
        <f t="shared" si="2"/>
        <v>0</v>
      </c>
      <c r="P7" s="616"/>
      <c r="Q7" s="507">
        <f t="shared" si="1"/>
        <v>0</v>
      </c>
      <c r="R7" s="616"/>
      <c r="S7" s="507">
        <f t="shared" si="3"/>
        <v>0</v>
      </c>
      <c r="T7" s="507">
        <f t="shared" si="4"/>
        <v>4400000</v>
      </c>
      <c r="U7" s="506">
        <f t="shared" si="5"/>
        <v>0</v>
      </c>
      <c r="V7" s="506">
        <f t="shared" si="6"/>
        <v>0</v>
      </c>
    </row>
    <row r="8" spans="1:22">
      <c r="A8" s="737"/>
      <c r="B8" s="737"/>
      <c r="C8" s="738"/>
      <c r="D8" s="638" t="s">
        <v>743</v>
      </c>
      <c r="E8" s="723" t="s">
        <v>469</v>
      </c>
      <c r="F8" s="724"/>
      <c r="G8" s="505">
        <f>SUM('TCO TO BE- SW'!E16:E25)+SUM('TCO TO BE - HW'!E35:E44)</f>
        <v>0</v>
      </c>
      <c r="H8" s="506" t="str">
        <f t="shared" si="0"/>
        <v/>
      </c>
      <c r="I8" s="612"/>
      <c r="J8" s="612"/>
      <c r="K8" s="612"/>
      <c r="L8" s="612"/>
      <c r="M8" s="612"/>
      <c r="N8" s="612"/>
      <c r="O8" s="507">
        <f t="shared" si="2"/>
        <v>0</v>
      </c>
      <c r="P8" s="616"/>
      <c r="Q8" s="507">
        <f t="shared" si="1"/>
        <v>0</v>
      </c>
      <c r="R8" s="616"/>
      <c r="S8" s="507">
        <f t="shared" si="3"/>
        <v>0</v>
      </c>
      <c r="T8" s="507">
        <f t="shared" si="4"/>
        <v>0</v>
      </c>
      <c r="U8" s="506">
        <f t="shared" si="5"/>
        <v>0</v>
      </c>
      <c r="V8" s="506">
        <f t="shared" si="6"/>
        <v>0</v>
      </c>
    </row>
    <row r="9" spans="1:22">
      <c r="A9" s="735" t="s">
        <v>466</v>
      </c>
      <c r="B9" s="735" t="s">
        <v>106</v>
      </c>
      <c r="C9" s="738">
        <f>'TCO TO BE- SW'!E99</f>
        <v>9368325.7826833092</v>
      </c>
      <c r="D9" s="638" t="s">
        <v>743</v>
      </c>
      <c r="E9" s="723" t="s">
        <v>468</v>
      </c>
      <c r="F9" s="724"/>
      <c r="G9" s="505">
        <f>SUM('TCO TO BE- SW'!E100:E119,'TCO TO BE- SW'!E140:E149)</f>
        <v>2755389.9360833261</v>
      </c>
      <c r="H9" s="506">
        <f t="shared" si="0"/>
        <v>1</v>
      </c>
      <c r="I9" s="612">
        <v>1</v>
      </c>
      <c r="J9" s="612"/>
      <c r="K9" s="612"/>
      <c r="L9" s="612"/>
      <c r="M9" s="612"/>
      <c r="N9" s="612"/>
      <c r="O9" s="507">
        <f t="shared" si="2"/>
        <v>2755389.9360833261</v>
      </c>
      <c r="P9" s="616"/>
      <c r="Q9" s="507">
        <f t="shared" si="1"/>
        <v>0</v>
      </c>
      <c r="R9" s="616"/>
      <c r="S9" s="507">
        <f t="shared" si="3"/>
        <v>0</v>
      </c>
      <c r="T9" s="507">
        <f t="shared" si="4"/>
        <v>0</v>
      </c>
      <c r="U9" s="506">
        <f t="shared" si="5"/>
        <v>0</v>
      </c>
      <c r="V9" s="506">
        <f t="shared" si="6"/>
        <v>0</v>
      </c>
    </row>
    <row r="10" spans="1:22">
      <c r="A10" s="736"/>
      <c r="B10" s="736"/>
      <c r="C10" s="738"/>
      <c r="D10" s="638" t="s">
        <v>744</v>
      </c>
      <c r="E10" s="723" t="s">
        <v>468</v>
      </c>
      <c r="F10" s="724"/>
      <c r="G10" s="505">
        <f>SUM('TCO TO BE- SW'!E120:E129)</f>
        <v>6612935.846599984</v>
      </c>
      <c r="H10" s="506">
        <f t="shared" si="0"/>
        <v>1</v>
      </c>
      <c r="I10" s="612"/>
      <c r="J10" s="612">
        <v>1</v>
      </c>
      <c r="K10" s="612"/>
      <c r="L10" s="612"/>
      <c r="M10" s="612"/>
      <c r="N10" s="612"/>
      <c r="O10" s="507">
        <f t="shared" si="2"/>
        <v>0</v>
      </c>
      <c r="P10" s="616"/>
      <c r="Q10" s="507">
        <f t="shared" si="1"/>
        <v>6612935.846599984</v>
      </c>
      <c r="R10" s="616"/>
      <c r="S10" s="507">
        <f t="shared" si="3"/>
        <v>0</v>
      </c>
      <c r="T10" s="507">
        <f t="shared" si="4"/>
        <v>0</v>
      </c>
      <c r="U10" s="506">
        <f t="shared" si="5"/>
        <v>0</v>
      </c>
      <c r="V10" s="506">
        <f t="shared" si="6"/>
        <v>0</v>
      </c>
    </row>
    <row r="11" spans="1:22">
      <c r="A11" s="736"/>
      <c r="B11" s="737"/>
      <c r="C11" s="738"/>
      <c r="D11" s="638" t="s">
        <v>743</v>
      </c>
      <c r="E11" s="723" t="s">
        <v>469</v>
      </c>
      <c r="F11" s="724"/>
      <c r="G11" s="505">
        <f>SUM('TCO TO BE- SW'!E130:E139)</f>
        <v>0</v>
      </c>
      <c r="H11" s="506" t="str">
        <f t="shared" si="0"/>
        <v/>
      </c>
      <c r="I11" s="612"/>
      <c r="J11" s="612"/>
      <c r="K11" s="612"/>
      <c r="L11" s="612"/>
      <c r="M11" s="612"/>
      <c r="N11" s="612"/>
      <c r="O11" s="507">
        <f t="shared" si="2"/>
        <v>0</v>
      </c>
      <c r="P11" s="616"/>
      <c r="Q11" s="507">
        <f t="shared" si="1"/>
        <v>0</v>
      </c>
      <c r="R11" s="616"/>
      <c r="S11" s="507">
        <f t="shared" si="3"/>
        <v>0</v>
      </c>
      <c r="T11" s="507">
        <f t="shared" si="4"/>
        <v>0</v>
      </c>
      <c r="U11" s="506">
        <f t="shared" si="5"/>
        <v>0</v>
      </c>
      <c r="V11" s="506">
        <f t="shared" si="6"/>
        <v>0</v>
      </c>
    </row>
    <row r="12" spans="1:22">
      <c r="A12" s="736"/>
      <c r="B12" s="735" t="s">
        <v>459</v>
      </c>
      <c r="C12" s="738">
        <f>'TCO TO BE - HW'!E55+'TCO TO BE- SW'!E78</f>
        <v>7040000</v>
      </c>
      <c r="D12" s="638" t="s">
        <v>743</v>
      </c>
      <c r="E12" s="723" t="s">
        <v>468</v>
      </c>
      <c r="F12" s="724"/>
      <c r="G12" s="505">
        <f>SUM('TCO TO BE- SW'!E79:E88)+SUM('TCO TO BE - HW'!E56:E65,'TCO TO BE - HW'!E76:E85,'TCO TO BE - HW'!E96:E105)</f>
        <v>2816000</v>
      </c>
      <c r="H12" s="506">
        <f t="shared" si="0"/>
        <v>1</v>
      </c>
      <c r="I12" s="612">
        <v>1</v>
      </c>
      <c r="J12" s="612"/>
      <c r="K12" s="612"/>
      <c r="L12" s="612"/>
      <c r="M12" s="612"/>
      <c r="N12" s="612"/>
      <c r="O12" s="507">
        <f t="shared" si="2"/>
        <v>2816000</v>
      </c>
      <c r="P12" s="616"/>
      <c r="Q12" s="507">
        <f t="shared" si="1"/>
        <v>0</v>
      </c>
      <c r="R12" s="616"/>
      <c r="S12" s="507">
        <f t="shared" si="3"/>
        <v>0</v>
      </c>
      <c r="T12" s="507">
        <f t="shared" si="4"/>
        <v>0</v>
      </c>
      <c r="U12" s="506">
        <f t="shared" si="5"/>
        <v>0</v>
      </c>
      <c r="V12" s="506">
        <f t="shared" si="6"/>
        <v>0</v>
      </c>
    </row>
    <row r="13" spans="1:22">
      <c r="A13" s="736"/>
      <c r="B13" s="736"/>
      <c r="C13" s="738"/>
      <c r="D13" s="638" t="s">
        <v>744</v>
      </c>
      <c r="E13" s="723" t="s">
        <v>468</v>
      </c>
      <c r="F13" s="724"/>
      <c r="G13" s="505">
        <f>SUM('TCO TO BE- SW'!E89:E98)+SUM('TCO TO BE - HW'!E66:E75)</f>
        <v>4224000</v>
      </c>
      <c r="H13" s="506">
        <f t="shared" si="0"/>
        <v>1</v>
      </c>
      <c r="I13" s="612"/>
      <c r="J13" s="612">
        <v>1</v>
      </c>
      <c r="K13" s="612"/>
      <c r="L13" s="612"/>
      <c r="M13" s="612"/>
      <c r="N13" s="612"/>
      <c r="O13" s="507">
        <f t="shared" si="2"/>
        <v>0</v>
      </c>
      <c r="P13" s="616"/>
      <c r="Q13" s="507">
        <f t="shared" si="1"/>
        <v>4224000</v>
      </c>
      <c r="R13" s="616"/>
      <c r="S13" s="507">
        <f t="shared" si="3"/>
        <v>0</v>
      </c>
      <c r="T13" s="507">
        <f t="shared" si="4"/>
        <v>0</v>
      </c>
      <c r="U13" s="506">
        <f t="shared" si="5"/>
        <v>0</v>
      </c>
      <c r="V13" s="506">
        <f t="shared" si="6"/>
        <v>0</v>
      </c>
    </row>
    <row r="14" spans="1:22">
      <c r="A14" s="737"/>
      <c r="B14" s="737"/>
      <c r="C14" s="738"/>
      <c r="D14" s="638" t="s">
        <v>743</v>
      </c>
      <c r="E14" s="723" t="s">
        <v>469</v>
      </c>
      <c r="F14" s="724"/>
      <c r="G14" s="505">
        <f>SUM('TCO TO BE - HW'!E86:E95)</f>
        <v>0</v>
      </c>
      <c r="H14" s="506" t="str">
        <f t="shared" si="0"/>
        <v/>
      </c>
      <c r="I14" s="612"/>
      <c r="J14" s="612"/>
      <c r="K14" s="612"/>
      <c r="L14" s="612"/>
      <c r="M14" s="612"/>
      <c r="N14" s="612"/>
      <c r="O14" s="507">
        <f t="shared" si="2"/>
        <v>0</v>
      </c>
      <c r="P14" s="616"/>
      <c r="Q14" s="507">
        <f t="shared" si="1"/>
        <v>0</v>
      </c>
      <c r="R14" s="616"/>
      <c r="S14" s="507">
        <f t="shared" si="3"/>
        <v>0</v>
      </c>
      <c r="T14" s="507">
        <f t="shared" si="4"/>
        <v>0</v>
      </c>
      <c r="U14" s="506">
        <f t="shared" si="5"/>
        <v>0</v>
      </c>
      <c r="V14" s="506">
        <f t="shared" si="6"/>
        <v>0</v>
      </c>
    </row>
    <row r="15" spans="1:22" ht="14.45" customHeight="1">
      <c r="A15" s="745" t="s">
        <v>771</v>
      </c>
      <c r="B15" s="735" t="s">
        <v>464</v>
      </c>
      <c r="C15" s="738">
        <f>SUM('TCO TO BE- SW'!E151:E160)</f>
        <v>112560</v>
      </c>
      <c r="D15" s="638" t="s">
        <v>743</v>
      </c>
      <c r="E15" s="723" t="s">
        <v>468</v>
      </c>
      <c r="F15" s="724"/>
      <c r="G15" s="507">
        <f>SUM(EXTERNE_POZICIE!M41:M52)</f>
        <v>0</v>
      </c>
      <c r="H15" s="506" t="str">
        <f t="shared" si="0"/>
        <v/>
      </c>
      <c r="I15" s="612"/>
      <c r="J15" s="612"/>
      <c r="K15" s="612"/>
      <c r="L15" s="612"/>
      <c r="M15" s="612"/>
      <c r="N15" s="612"/>
      <c r="O15" s="507">
        <f t="shared" si="2"/>
        <v>0</v>
      </c>
      <c r="P15" s="616"/>
      <c r="Q15" s="507">
        <f t="shared" si="1"/>
        <v>0</v>
      </c>
      <c r="R15" s="616"/>
      <c r="S15" s="507">
        <f t="shared" si="3"/>
        <v>0</v>
      </c>
      <c r="T15" s="507">
        <f t="shared" si="4"/>
        <v>0</v>
      </c>
      <c r="U15" s="506">
        <f t="shared" si="5"/>
        <v>0</v>
      </c>
      <c r="V15" s="506">
        <f t="shared" si="6"/>
        <v>0</v>
      </c>
    </row>
    <row r="16" spans="1:22">
      <c r="A16" s="746"/>
      <c r="B16" s="737"/>
      <c r="C16" s="738"/>
      <c r="D16" s="638" t="s">
        <v>743</v>
      </c>
      <c r="E16" s="723" t="s">
        <v>469</v>
      </c>
      <c r="F16" s="724"/>
      <c r="G16" s="505">
        <f>SUM(POZICIE_INTERNE!I40:I51)</f>
        <v>112560</v>
      </c>
      <c r="H16" s="506">
        <f t="shared" si="0"/>
        <v>1</v>
      </c>
      <c r="I16" s="612"/>
      <c r="J16" s="612"/>
      <c r="K16" s="612">
        <v>1</v>
      </c>
      <c r="L16" s="612"/>
      <c r="M16" s="612"/>
      <c r="N16" s="612"/>
      <c r="O16" s="507">
        <f t="shared" si="2"/>
        <v>0</v>
      </c>
      <c r="P16" s="616"/>
      <c r="Q16" s="507">
        <f t="shared" si="1"/>
        <v>0</v>
      </c>
      <c r="R16" s="616"/>
      <c r="S16" s="507">
        <f t="shared" si="3"/>
        <v>112560</v>
      </c>
      <c r="T16" s="507">
        <f t="shared" si="4"/>
        <v>0</v>
      </c>
      <c r="U16" s="506">
        <f t="shared" si="5"/>
        <v>0</v>
      </c>
      <c r="V16" s="506">
        <f t="shared" si="6"/>
        <v>0</v>
      </c>
    </row>
    <row r="17" spans="1:22">
      <c r="A17" s="746"/>
      <c r="B17" s="735" t="s">
        <v>465</v>
      </c>
      <c r="C17" s="738">
        <f>SUM('TCO TO BE- SW'!E161:E170)</f>
        <v>667653.14630000014</v>
      </c>
      <c r="D17" s="638" t="s">
        <v>743</v>
      </c>
      <c r="E17" s="723" t="s">
        <v>468</v>
      </c>
      <c r="F17" s="724"/>
      <c r="G17" s="505">
        <f>SUM(EXTERNE_POZICIE!M53:M64)</f>
        <v>0</v>
      </c>
      <c r="H17" s="506" t="str">
        <f t="shared" si="0"/>
        <v/>
      </c>
      <c r="I17" s="612"/>
      <c r="J17" s="612"/>
      <c r="K17" s="612"/>
      <c r="L17" s="612"/>
      <c r="M17" s="612"/>
      <c r="N17" s="612"/>
      <c r="O17" s="507">
        <f t="shared" si="2"/>
        <v>0</v>
      </c>
      <c r="P17" s="616"/>
      <c r="Q17" s="507">
        <f t="shared" si="1"/>
        <v>0</v>
      </c>
      <c r="R17" s="616"/>
      <c r="S17" s="507">
        <f t="shared" si="3"/>
        <v>0</v>
      </c>
      <c r="T17" s="507">
        <f t="shared" si="4"/>
        <v>0</v>
      </c>
      <c r="U17" s="506">
        <f t="shared" si="5"/>
        <v>0</v>
      </c>
      <c r="V17" s="506">
        <f t="shared" si="6"/>
        <v>0</v>
      </c>
    </row>
    <row r="18" spans="1:22">
      <c r="A18" s="746"/>
      <c r="B18" s="737"/>
      <c r="C18" s="738"/>
      <c r="D18" s="638" t="s">
        <v>743</v>
      </c>
      <c r="E18" s="723" t="s">
        <v>469</v>
      </c>
      <c r="F18" s="724"/>
      <c r="G18" s="505">
        <f>SUM(POZICIE_INTERNE!I52:I62)</f>
        <v>45024</v>
      </c>
      <c r="H18" s="506">
        <f t="shared" si="0"/>
        <v>1</v>
      </c>
      <c r="I18" s="612"/>
      <c r="J18" s="612"/>
      <c r="K18" s="612">
        <v>1</v>
      </c>
      <c r="L18" s="612"/>
      <c r="M18" s="612"/>
      <c r="N18" s="612"/>
      <c r="O18" s="507">
        <f t="shared" si="2"/>
        <v>0</v>
      </c>
      <c r="P18" s="616"/>
      <c r="Q18" s="507">
        <f t="shared" si="1"/>
        <v>0</v>
      </c>
      <c r="R18" s="616"/>
      <c r="S18" s="507">
        <f t="shared" si="3"/>
        <v>45024</v>
      </c>
      <c r="T18" s="507">
        <f t="shared" si="4"/>
        <v>0</v>
      </c>
      <c r="U18" s="506">
        <f t="shared" si="5"/>
        <v>0</v>
      </c>
      <c r="V18" s="506">
        <f t="shared" si="6"/>
        <v>0</v>
      </c>
    </row>
    <row r="19" spans="1:22">
      <c r="A19" s="747"/>
      <c r="B19" s="654" t="s">
        <v>766</v>
      </c>
      <c r="C19" s="637"/>
      <c r="D19" s="748" t="s">
        <v>767</v>
      </c>
      <c r="E19" s="749"/>
      <c r="F19" s="653"/>
      <c r="G19" s="505">
        <f>POZICIE_INTERNE!I63</f>
        <v>622629.14630000002</v>
      </c>
      <c r="H19" s="506"/>
      <c r="I19" s="612"/>
      <c r="J19" s="612"/>
      <c r="K19" s="612">
        <v>1</v>
      </c>
      <c r="L19" s="612"/>
      <c r="M19" s="612"/>
      <c r="N19" s="612"/>
      <c r="O19" s="507"/>
      <c r="P19" s="616"/>
      <c r="Q19" s="507"/>
      <c r="R19" s="616"/>
      <c r="S19" s="507"/>
      <c r="T19" s="507"/>
      <c r="U19" s="506"/>
      <c r="V19" s="506"/>
    </row>
    <row r="20" spans="1:22">
      <c r="A20" s="741" t="s">
        <v>247</v>
      </c>
      <c r="B20" s="742"/>
      <c r="C20" s="738">
        <f>'TCO TO BE- SW'!E171</f>
        <v>0</v>
      </c>
      <c r="D20" s="637"/>
      <c r="E20" s="504" t="s">
        <v>468</v>
      </c>
      <c r="F20" s="612"/>
      <c r="G20" s="505">
        <f>C20*F20</f>
        <v>0</v>
      </c>
      <c r="H20" s="506" t="str">
        <f t="shared" si="0"/>
        <v/>
      </c>
      <c r="I20" s="612"/>
      <c r="J20" s="612"/>
      <c r="K20" s="612"/>
      <c r="L20" s="612"/>
      <c r="M20" s="612"/>
      <c r="N20" s="612"/>
      <c r="O20" s="507">
        <f t="shared" si="2"/>
        <v>0</v>
      </c>
      <c r="P20" s="616"/>
      <c r="Q20" s="507">
        <f t="shared" si="1"/>
        <v>0</v>
      </c>
      <c r="R20" s="616"/>
      <c r="S20" s="507">
        <f t="shared" si="3"/>
        <v>0</v>
      </c>
      <c r="T20" s="507">
        <f t="shared" si="4"/>
        <v>0</v>
      </c>
      <c r="U20" s="506">
        <f t="shared" si="5"/>
        <v>0</v>
      </c>
      <c r="V20" s="506">
        <f t="shared" si="6"/>
        <v>0</v>
      </c>
    </row>
    <row r="21" spans="1:22">
      <c r="A21" s="743"/>
      <c r="B21" s="744"/>
      <c r="C21" s="738"/>
      <c r="D21" s="637"/>
      <c r="E21" s="504" t="s">
        <v>469</v>
      </c>
      <c r="F21" s="612"/>
      <c r="G21" s="505">
        <f>F21*C20</f>
        <v>0</v>
      </c>
      <c r="H21" s="506" t="str">
        <f t="shared" si="0"/>
        <v/>
      </c>
      <c r="I21" s="612"/>
      <c r="J21" s="612"/>
      <c r="K21" s="612"/>
      <c r="L21" s="612"/>
      <c r="M21" s="612"/>
      <c r="N21" s="612"/>
      <c r="O21" s="507">
        <f t="shared" si="2"/>
        <v>0</v>
      </c>
      <c r="P21" s="616"/>
      <c r="Q21" s="507">
        <f t="shared" si="1"/>
        <v>0</v>
      </c>
      <c r="R21" s="616"/>
      <c r="S21" s="507">
        <f t="shared" si="3"/>
        <v>0</v>
      </c>
      <c r="T21" s="507">
        <f t="shared" si="4"/>
        <v>0</v>
      </c>
      <c r="U21" s="506">
        <f t="shared" si="5"/>
        <v>0</v>
      </c>
      <c r="V21" s="506">
        <f t="shared" si="6"/>
        <v>0</v>
      </c>
    </row>
    <row r="22" spans="1:22">
      <c r="A22" s="739" t="s">
        <v>35</v>
      </c>
      <c r="B22" s="740"/>
      <c r="C22" s="509">
        <f>SUM(C3:C21)</f>
        <v>28334441.018983308</v>
      </c>
      <c r="D22" s="509"/>
      <c r="E22" s="504" t="s">
        <v>458</v>
      </c>
      <c r="F22" s="504"/>
      <c r="G22" s="505">
        <f>SUM(G3:G21)</f>
        <v>28334441.018983308</v>
      </c>
      <c r="H22" s="510"/>
      <c r="I22" s="511"/>
      <c r="J22" s="511"/>
      <c r="K22" s="511"/>
      <c r="L22" s="511"/>
      <c r="M22" s="511"/>
      <c r="N22" s="511"/>
      <c r="O22" s="505">
        <f t="shared" ref="O22:T22" si="7">SUM(O3:O21)</f>
        <v>5571389.9360833261</v>
      </c>
      <c r="P22" s="505">
        <f>SUM(P3:P21)</f>
        <v>0</v>
      </c>
      <c r="Q22" s="505">
        <f t="shared" si="7"/>
        <v>10836935.846599985</v>
      </c>
      <c r="R22" s="505">
        <f>SUM(R3:R21)</f>
        <v>0</v>
      </c>
      <c r="S22" s="505">
        <f t="shared" si="7"/>
        <v>529720.80000000005</v>
      </c>
      <c r="T22" s="505">
        <f t="shared" si="7"/>
        <v>10773765.289999999</v>
      </c>
      <c r="U22" s="617"/>
      <c r="V22" s="617"/>
    </row>
  </sheetData>
  <mergeCells count="44">
    <mergeCell ref="C20:C21"/>
    <mergeCell ref="C15:C16"/>
    <mergeCell ref="C17:C18"/>
    <mergeCell ref="E15:F15"/>
    <mergeCell ref="E16:F16"/>
    <mergeCell ref="E17:F17"/>
    <mergeCell ref="E18:F18"/>
    <mergeCell ref="D19:E19"/>
    <mergeCell ref="A22:B22"/>
    <mergeCell ref="A20:B21"/>
    <mergeCell ref="B15:B16"/>
    <mergeCell ref="B17:B18"/>
    <mergeCell ref="A15:A19"/>
    <mergeCell ref="C9:C11"/>
    <mergeCell ref="C12:C14"/>
    <mergeCell ref="E3:F3"/>
    <mergeCell ref="E5:F5"/>
    <mergeCell ref="E6:F6"/>
    <mergeCell ref="E9:F9"/>
    <mergeCell ref="E11:F11"/>
    <mergeCell ref="E12:F12"/>
    <mergeCell ref="E14:F14"/>
    <mergeCell ref="E4:F4"/>
    <mergeCell ref="E7:F7"/>
    <mergeCell ref="E10:F10"/>
    <mergeCell ref="E13:F13"/>
    <mergeCell ref="B9:B11"/>
    <mergeCell ref="B12:B14"/>
    <mergeCell ref="A9:A14"/>
    <mergeCell ref="A3:A8"/>
    <mergeCell ref="B3:B5"/>
    <mergeCell ref="U1:V1"/>
    <mergeCell ref="O1:T1"/>
    <mergeCell ref="E8:F8"/>
    <mergeCell ref="A1:A2"/>
    <mergeCell ref="B1:B2"/>
    <mergeCell ref="C1:C2"/>
    <mergeCell ref="G1:G2"/>
    <mergeCell ref="H1:L1"/>
    <mergeCell ref="E1:F2"/>
    <mergeCell ref="D1:D2"/>
    <mergeCell ref="B6:B8"/>
    <mergeCell ref="C3:C5"/>
    <mergeCell ref="C6:C8"/>
  </mergeCells>
  <conditionalFormatting sqref="G22">
    <cfRule type="expression" dxfId="30" priority="6">
      <formula>$C$22=$G$22</formula>
    </cfRule>
    <cfRule type="expression" dxfId="29" priority="7">
      <formula>$C$22&lt;&gt;$G$22</formula>
    </cfRule>
  </conditionalFormatting>
  <conditionalFormatting sqref="H3:H21">
    <cfRule type="expression" dxfId="28" priority="10">
      <formula>H3=1</formula>
    </cfRule>
    <cfRule type="expression" dxfId="27" priority="11">
      <formula>H3&lt;&gt;1</formula>
    </cfRule>
  </conditionalFormatting>
  <conditionalFormatting sqref="O22 Q22">
    <cfRule type="expression" dxfId="26" priority="8">
      <formula>SUM($O$22,$Q$22,$S$22,$T$22)=$G$22</formula>
    </cfRule>
    <cfRule type="expression" dxfId="25" priority="9">
      <formula>SUM($O$22,$Q$22,$S$22,$T$22)&lt;&gt;$G$22</formula>
    </cfRule>
  </conditionalFormatting>
  <conditionalFormatting sqref="S22:T22">
    <cfRule type="expression" dxfId="24" priority="1">
      <formula>SUM($O$22,$Q$22,$S$22,$T$22)=$G$22</formula>
    </cfRule>
    <cfRule type="expression" dxfId="23" priority="2">
      <formula>SUM($O$22,$Q$22,$S$22,$T$22)&lt;&gt;$G$22</formula>
    </cfRule>
  </conditionalFormatting>
  <conditionalFormatting sqref="U3:V21">
    <cfRule type="cellIs" dxfId="22" priority="3" operator="greaterThan">
      <formula>0</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4">
    <tabColor theme="0" tint="-0.34998626667073579"/>
  </sheetPr>
  <dimension ref="A1:L22"/>
  <sheetViews>
    <sheetView zoomScaleNormal="100" workbookViewId="0">
      <selection activeCell="K7" sqref="K7"/>
    </sheetView>
  </sheetViews>
  <sheetFormatPr defaultColWidth="8.85546875" defaultRowHeight="15"/>
  <cols>
    <col min="1" max="1" width="9.28515625" customWidth="1"/>
    <col min="2" max="4" width="13.85546875" customWidth="1"/>
    <col min="5" max="7" width="13.7109375" customWidth="1"/>
    <col min="8" max="8" width="9.85546875" customWidth="1"/>
    <col min="9" max="9" width="15.28515625" customWidth="1"/>
    <col min="10" max="10" width="15.85546875" bestFit="1" customWidth="1"/>
    <col min="11" max="11" width="14.28515625" customWidth="1"/>
    <col min="12" max="12" width="23.140625" customWidth="1"/>
  </cols>
  <sheetData>
    <row r="1" spans="1:12" ht="15.75" thickBot="1">
      <c r="A1" s="9"/>
      <c r="B1" s="752" t="s">
        <v>36</v>
      </c>
      <c r="C1" s="753"/>
      <c r="D1" s="753"/>
      <c r="E1" s="753"/>
      <c r="F1" s="753"/>
      <c r="G1" s="754"/>
      <c r="H1" s="755" t="s">
        <v>16</v>
      </c>
      <c r="I1" s="756"/>
      <c r="J1" s="756"/>
      <c r="K1" s="756"/>
      <c r="L1" s="757"/>
    </row>
    <row r="2" spans="1:12" ht="30">
      <c r="A2" s="10"/>
      <c r="B2" s="755" t="s">
        <v>256</v>
      </c>
      <c r="C2" s="756"/>
      <c r="D2" s="757"/>
      <c r="E2" s="755" t="s">
        <v>257</v>
      </c>
      <c r="F2" s="756"/>
      <c r="G2" s="757"/>
      <c r="H2" s="50" t="s">
        <v>19</v>
      </c>
      <c r="I2" s="45" t="s">
        <v>20</v>
      </c>
      <c r="J2" s="12" t="s">
        <v>21</v>
      </c>
      <c r="K2" s="758" t="s">
        <v>22</v>
      </c>
      <c r="L2" s="759"/>
    </row>
    <row r="3" spans="1:12" ht="15.75" thickBot="1">
      <c r="A3" s="11" t="s">
        <v>23</v>
      </c>
      <c r="B3" s="14" t="s">
        <v>173</v>
      </c>
      <c r="C3" s="15" t="s">
        <v>126</v>
      </c>
      <c r="D3" s="16" t="s">
        <v>24</v>
      </c>
      <c r="E3" s="14" t="s">
        <v>173</v>
      </c>
      <c r="F3" s="15" t="s">
        <v>126</v>
      </c>
      <c r="G3" s="16" t="s">
        <v>24</v>
      </c>
      <c r="H3" s="51"/>
      <c r="I3" s="46"/>
      <c r="J3" s="13"/>
      <c r="K3" s="750"/>
      <c r="L3" s="751"/>
    </row>
    <row r="4" spans="1:12">
      <c r="A4" s="44" t="s">
        <v>25</v>
      </c>
      <c r="B4" s="26">
        <f>'Prínosy - Agendové IS'!V4-'Výdavky - Agendové IS'!U4</f>
        <v>0</v>
      </c>
      <c r="C4" s="25">
        <f>'Prínosy - Agendové IS'!W4-'Výdavky - Agendové IS'!V4</f>
        <v>-7466498.8210545992</v>
      </c>
      <c r="D4" s="32">
        <f>C4-B4</f>
        <v>-7466498.8210545992</v>
      </c>
      <c r="E4" s="26">
        <f>'Prínosy - Agendové IS'!Y4-('Výdavky - Agendové IS'!U4/1.23)</f>
        <v>0</v>
      </c>
      <c r="F4" s="26">
        <f>'Prínosy - Agendové IS'!Z4-('Výdavky - Agendové IS'!V4/1.23)</f>
        <v>-6070324.2447598372</v>
      </c>
      <c r="G4" s="32">
        <f t="shared" ref="G4:G13" si="0">F4-E4</f>
        <v>-6070324.2447598372</v>
      </c>
      <c r="H4" s="52">
        <v>0</v>
      </c>
      <c r="I4" s="47">
        <f>D4*(1/(1+Faktory!$D$3)^H4)</f>
        <v>-7466498.8210545992</v>
      </c>
      <c r="J4" s="54">
        <f>G4*(1/(1+Faktory!$D$5)^H4)</f>
        <v>-6070324.2447598372</v>
      </c>
      <c r="K4" s="53">
        <f>J4</f>
        <v>-6070324.2447598372</v>
      </c>
      <c r="L4" s="30" t="str">
        <f>IF(K4&gt;0,"Rok návratu investície","&lt;")</f>
        <v>&lt;</v>
      </c>
    </row>
    <row r="5" spans="1:12">
      <c r="A5" s="31" t="s">
        <v>26</v>
      </c>
      <c r="B5" s="26">
        <f>'Prínosy - Agendové IS'!V5-'Výdavky - Agendové IS'!U5</f>
        <v>0</v>
      </c>
      <c r="C5" s="25">
        <f>'Prínosy - Agendové IS'!W5-'Výdavky - Agendové IS'!V5</f>
        <v>-2061116.8431592281</v>
      </c>
      <c r="D5" s="28">
        <f t="shared" ref="D5:D13" si="1">C5-B5</f>
        <v>-2061116.8431592281</v>
      </c>
      <c r="E5" s="26">
        <f>'Prínosy - Agendové IS'!Y5-('Výdavky - Agendové IS'!U5/1.23)</f>
        <v>0</v>
      </c>
      <c r="F5" s="26">
        <f>'Prínosy - Agendové IS'!Z5-('Výdavky - Agendové IS'!V5/1.23)</f>
        <v>-1675704.7505359577</v>
      </c>
      <c r="G5" s="28">
        <f t="shared" si="0"/>
        <v>-1675704.7505359577</v>
      </c>
      <c r="H5" s="52">
        <v>1</v>
      </c>
      <c r="I5" s="48">
        <f>D5*(1/(1+Faktory!$D$3)^H5)</f>
        <v>-1981843.1184223345</v>
      </c>
      <c r="J5" s="55">
        <f>G5*(1/(1+Faktory!$D$5)^H5)</f>
        <v>-1595909.2862247215</v>
      </c>
      <c r="K5" s="53">
        <f>J5+K4</f>
        <v>-7666233.5309845582</v>
      </c>
      <c r="L5" s="30" t="str">
        <f>IF(L4="&lt;",IF(K5&gt;0,"Rok návratu investície","&lt;"),"&gt;")</f>
        <v>&lt;</v>
      </c>
    </row>
    <row r="6" spans="1:12">
      <c r="A6" s="31" t="s">
        <v>27</v>
      </c>
      <c r="B6" s="26">
        <f>'Prínosy - Agendové IS'!V6-'Výdavky - Agendové IS'!U6</f>
        <v>0</v>
      </c>
      <c r="C6" s="25">
        <f>'Prínosy - Agendové IS'!W6-'Výdavky - Agendové IS'!V6</f>
        <v>-5062044.6596694812</v>
      </c>
      <c r="D6" s="28">
        <f t="shared" si="1"/>
        <v>-5062044.6596694812</v>
      </c>
      <c r="E6" s="26">
        <f>'Prínosy - Agendové IS'!Y6-('Výdavky - Agendové IS'!U6/1.23)</f>
        <v>0</v>
      </c>
      <c r="F6" s="26">
        <f>'Prínosy - Agendové IS'!Z6-('Výdavky - Agendové IS'!V6/1.23)</f>
        <v>2761073.4605182023</v>
      </c>
      <c r="G6" s="28">
        <f t="shared" si="0"/>
        <v>2761073.4605182023</v>
      </c>
      <c r="H6" s="52">
        <v>2</v>
      </c>
      <c r="I6" s="48">
        <f>D6*(1/(1+Faktory!$D$3)^H6)</f>
        <v>-4680144.8406707477</v>
      </c>
      <c r="J6" s="55">
        <f>G6*(1/(1+Faktory!$D$5)^H6)</f>
        <v>2504375.0208781878</v>
      </c>
      <c r="K6" s="53">
        <f t="shared" ref="K6:K13" si="2">J6+K5</f>
        <v>-5161858.5101063699</v>
      </c>
      <c r="L6" s="30" t="str">
        <f t="shared" ref="L6:L13" si="3">IF(L5="&lt;",IF(K6&gt;0,"Rok návratu investície","&lt;"),"&gt;")</f>
        <v>&lt;</v>
      </c>
    </row>
    <row r="7" spans="1:12">
      <c r="A7" s="31" t="s">
        <v>28</v>
      </c>
      <c r="B7" s="26">
        <f>'Prínosy - Agendové IS'!V7-'Výdavky - Agendové IS'!U7</f>
        <v>0</v>
      </c>
      <c r="C7" s="25">
        <f>'Prínosy - Agendové IS'!W7-'Výdavky - Agendové IS'!V7</f>
        <v>-1963540.0992999999</v>
      </c>
      <c r="D7" s="28">
        <f t="shared" si="1"/>
        <v>-1963540.0992999999</v>
      </c>
      <c r="E7" s="26">
        <f>'Prínosy - Agendové IS'!Y7-('Výdavky - Agendové IS'!U7/1.23)</f>
        <v>0</v>
      </c>
      <c r="F7" s="26">
        <f>'Prínosy - Agendové IS'!Z7-('Výdavky - Agendové IS'!V7/1.23)</f>
        <v>5280182.8591925772</v>
      </c>
      <c r="G7" s="28">
        <f t="shared" si="0"/>
        <v>5280182.8591925772</v>
      </c>
      <c r="H7" s="52">
        <v>3</v>
      </c>
      <c r="I7" s="48">
        <f>D7*(1/(1+Faktory!$D$3)^H7)</f>
        <v>-1745579.9983820266</v>
      </c>
      <c r="J7" s="55">
        <f>G7*(1/(1+Faktory!$D$5)^H7)</f>
        <v>4561220.4808919784</v>
      </c>
      <c r="K7" s="53">
        <f t="shared" si="2"/>
        <v>-600638.02921439148</v>
      </c>
      <c r="L7" s="30" t="str">
        <f t="shared" si="3"/>
        <v>&lt;</v>
      </c>
    </row>
    <row r="8" spans="1:12">
      <c r="A8" s="31" t="s">
        <v>29</v>
      </c>
      <c r="B8" s="26">
        <f>'Prínosy - Agendové IS'!V8-'Výdavky - Agendové IS'!U8</f>
        <v>0</v>
      </c>
      <c r="C8" s="25">
        <f>'Prínosy - Agendové IS'!W8-'Výdavky - Agendové IS'!V8</f>
        <v>-1963540.0992999999</v>
      </c>
      <c r="D8" s="28">
        <f t="shared" si="1"/>
        <v>-1963540.0992999999</v>
      </c>
      <c r="E8" s="26">
        <f>'Prínosy - Agendové IS'!Y8-('Výdavky - Agendové IS'!U8/1.23)</f>
        <v>0</v>
      </c>
      <c r="F8" s="26">
        <f>'Prínosy - Agendové IS'!Z8-('Výdavky - Agendové IS'!V8/1.23)</f>
        <v>5280182.8591925772</v>
      </c>
      <c r="G8" s="28">
        <f t="shared" si="0"/>
        <v>5280182.8591925772</v>
      </c>
      <c r="H8" s="52">
        <v>4</v>
      </c>
      <c r="I8" s="48">
        <f>D8*(1/(1+Faktory!$D$3)^H8)</f>
        <v>-1678442.3061365637</v>
      </c>
      <c r="J8" s="55">
        <f>G8*(1/(1+Faktory!$D$5)^H8)</f>
        <v>4344019.5056114085</v>
      </c>
      <c r="K8" s="53">
        <f t="shared" si="2"/>
        <v>3743381.476397017</v>
      </c>
      <c r="L8" s="30" t="str">
        <f t="shared" si="3"/>
        <v>Rok návratu investície</v>
      </c>
    </row>
    <row r="9" spans="1:12">
      <c r="A9" s="31" t="s">
        <v>30</v>
      </c>
      <c r="B9" s="26">
        <f>'Prínosy - Agendové IS'!V9-'Výdavky - Agendové IS'!U9</f>
        <v>0</v>
      </c>
      <c r="C9" s="25">
        <f>'Prínosy - Agendové IS'!W9-'Výdavky - Agendové IS'!V9</f>
        <v>-1963540.0992999999</v>
      </c>
      <c r="D9" s="28">
        <f t="shared" si="1"/>
        <v>-1963540.0992999999</v>
      </c>
      <c r="E9" s="26">
        <f>'Prínosy - Agendové IS'!Y9-('Výdavky - Agendové IS'!U9/1.23)</f>
        <v>0</v>
      </c>
      <c r="F9" s="26">
        <f>'Prínosy - Agendové IS'!Z9-('Výdavky - Agendové IS'!V9/1.23)</f>
        <v>5280182.8591925772</v>
      </c>
      <c r="G9" s="28">
        <f t="shared" si="0"/>
        <v>5280182.8591925772</v>
      </c>
      <c r="H9" s="52">
        <v>5</v>
      </c>
      <c r="I9" s="48">
        <f>D9*(1/(1+Faktory!$D$3)^H9)</f>
        <v>-1613886.8328236188</v>
      </c>
      <c r="J9" s="55">
        <f>G9*(1/(1+Faktory!$D$5)^H9)</f>
        <v>4137161.4339156267</v>
      </c>
      <c r="K9" s="53">
        <f t="shared" si="2"/>
        <v>7880542.9103126433</v>
      </c>
      <c r="L9" s="30" t="str">
        <f t="shared" si="3"/>
        <v>&gt;</v>
      </c>
    </row>
    <row r="10" spans="1:12">
      <c r="A10" s="31" t="s">
        <v>31</v>
      </c>
      <c r="B10" s="26">
        <f>'Prínosy - Agendové IS'!V10-'Výdavky - Agendové IS'!U10</f>
        <v>0</v>
      </c>
      <c r="C10" s="25">
        <f>'Prínosy - Agendové IS'!W10-'Výdavky - Agendové IS'!V10</f>
        <v>-1963540.0992999999</v>
      </c>
      <c r="D10" s="28">
        <f t="shared" si="1"/>
        <v>-1963540.0992999999</v>
      </c>
      <c r="E10" s="26">
        <f>'Prínosy - Agendové IS'!Y10-('Výdavky - Agendové IS'!U10/1.23)</f>
        <v>0</v>
      </c>
      <c r="F10" s="26">
        <f>'Prínosy - Agendové IS'!Z10-('Výdavky - Agendové IS'!V10/1.23)</f>
        <v>5280182.8591925772</v>
      </c>
      <c r="G10" s="28">
        <f t="shared" si="0"/>
        <v>5280182.8591925772</v>
      </c>
      <c r="H10" s="52">
        <v>6</v>
      </c>
      <c r="I10" s="48">
        <f>D10*(1/(1+Faktory!$D$3)^H10)</f>
        <v>-1551814.2623304026</v>
      </c>
      <c r="J10" s="55">
        <f>G10*(1/(1+Faktory!$D$5)^H10)</f>
        <v>3940153.7465863116</v>
      </c>
      <c r="K10" s="53">
        <f t="shared" si="2"/>
        <v>11820696.656898955</v>
      </c>
      <c r="L10" s="30" t="str">
        <f t="shared" si="3"/>
        <v>&gt;</v>
      </c>
    </row>
    <row r="11" spans="1:12">
      <c r="A11" s="31" t="s">
        <v>32</v>
      </c>
      <c r="B11" s="26">
        <f>'Prínosy - Agendové IS'!V11-'Výdavky - Agendové IS'!U11</f>
        <v>0</v>
      </c>
      <c r="C11" s="25">
        <f>'Prínosy - Agendové IS'!W11-'Výdavky - Agendové IS'!V11</f>
        <v>-1963540.0992999999</v>
      </c>
      <c r="D11" s="28">
        <f t="shared" si="1"/>
        <v>-1963540.0992999999</v>
      </c>
      <c r="E11" s="26">
        <f>'Prínosy - Agendové IS'!Y11-('Výdavky - Agendové IS'!U11/1.23)</f>
        <v>0</v>
      </c>
      <c r="F11" s="26">
        <f>'Prínosy - Agendové IS'!Z11-('Výdavky - Agendové IS'!V11/1.23)</f>
        <v>5280182.8591925772</v>
      </c>
      <c r="G11" s="28">
        <f t="shared" si="0"/>
        <v>5280182.8591925772</v>
      </c>
      <c r="H11" s="52">
        <v>7</v>
      </c>
      <c r="I11" s="48">
        <f>D11*(1/(1+Faktory!$D$3)^H11)</f>
        <v>-1492129.0983946181</v>
      </c>
      <c r="J11" s="55">
        <f>G11*(1/(1+Faktory!$D$5)^H11)</f>
        <v>3752527.3777012485</v>
      </c>
      <c r="K11" s="53">
        <f t="shared" si="2"/>
        <v>15573224.034600204</v>
      </c>
      <c r="L11" s="30" t="str">
        <f t="shared" si="3"/>
        <v>&gt;</v>
      </c>
    </row>
    <row r="12" spans="1:12">
      <c r="A12" s="31" t="s">
        <v>33</v>
      </c>
      <c r="B12" s="26">
        <f>'Prínosy - Agendové IS'!V12-'Výdavky - Agendové IS'!U12</f>
        <v>0</v>
      </c>
      <c r="C12" s="25">
        <f>'Prínosy - Agendové IS'!W12-'Výdavky - Agendové IS'!V12</f>
        <v>-1963540.0992999999</v>
      </c>
      <c r="D12" s="28">
        <f t="shared" si="1"/>
        <v>-1963540.0992999999</v>
      </c>
      <c r="E12" s="26">
        <f>'Prínosy - Agendové IS'!Y12-('Výdavky - Agendové IS'!U12/1.23)</f>
        <v>0</v>
      </c>
      <c r="F12" s="26">
        <f>'Prínosy - Agendové IS'!Z12-('Výdavky - Agendové IS'!V12/1.23)</f>
        <v>5280182.8591925772</v>
      </c>
      <c r="G12" s="28">
        <f t="shared" si="0"/>
        <v>5280182.8591925772</v>
      </c>
      <c r="H12" s="52">
        <v>8</v>
      </c>
      <c r="I12" s="48">
        <f>D12*(1/(1+Faktory!$D$3)^H12)</f>
        <v>-1434739.5176871326</v>
      </c>
      <c r="J12" s="55">
        <f>G12*(1/(1+Faktory!$D$5)^H12)</f>
        <v>3573835.5978107136</v>
      </c>
      <c r="K12" s="53">
        <f t="shared" si="2"/>
        <v>19147059.632410917</v>
      </c>
      <c r="L12" s="30" t="str">
        <f t="shared" si="3"/>
        <v>&gt;</v>
      </c>
    </row>
    <row r="13" spans="1:12" ht="15.75" thickBot="1">
      <c r="A13" s="31" t="s">
        <v>34</v>
      </c>
      <c r="B13" s="43">
        <f>'Prínosy - Agendové IS'!V13-'Výdavky - Agendové IS'!U13</f>
        <v>0</v>
      </c>
      <c r="C13" s="39">
        <f>'Prínosy - Agendové IS'!W13-'Výdavky - Agendové IS'!V13</f>
        <v>-1963540.0992999999</v>
      </c>
      <c r="D13" s="33">
        <f t="shared" si="1"/>
        <v>-1963540.0992999999</v>
      </c>
      <c r="E13" s="26">
        <f>'Prínosy - Agendové IS'!Y13-('Výdavky - Agendové IS'!U13/1.23)</f>
        <v>0</v>
      </c>
      <c r="F13" s="26">
        <f>'Prínosy - Agendové IS'!Z13-('Výdavky - Agendové IS'!V13/1.23)</f>
        <v>5280182.8591925772</v>
      </c>
      <c r="G13" s="33">
        <f t="shared" si="0"/>
        <v>5280182.8591925772</v>
      </c>
      <c r="H13" s="52">
        <v>9</v>
      </c>
      <c r="I13" s="49">
        <f>D13*(1/(1+Faktory!$D$3)^H13)</f>
        <v>-1379557.2285453195</v>
      </c>
      <c r="J13" s="56">
        <f>G13*(1/(1+Faktory!$D$5)^H13)</f>
        <v>3403652.9502959172</v>
      </c>
      <c r="K13" s="53">
        <f t="shared" si="2"/>
        <v>22550712.582706835</v>
      </c>
      <c r="L13" s="30" t="str">
        <f t="shared" si="3"/>
        <v>&gt;</v>
      </c>
    </row>
    <row r="14" spans="1:12" ht="15.75" thickBot="1">
      <c r="A14" s="58" t="s">
        <v>35</v>
      </c>
      <c r="B14" s="40">
        <f t="shared" ref="B14:G14" si="4">SUM(B4:B13)</f>
        <v>0</v>
      </c>
      <c r="C14" s="41">
        <f t="shared" si="4"/>
        <v>-28334441.018983312</v>
      </c>
      <c r="D14" s="41">
        <f t="shared" si="4"/>
        <v>-28334441.018983312</v>
      </c>
      <c r="E14" s="41">
        <f t="shared" si="4"/>
        <v>0</v>
      </c>
      <c r="F14" s="41">
        <f t="shared" si="4"/>
        <v>31976324.479570445</v>
      </c>
      <c r="G14" s="42">
        <f t="shared" si="4"/>
        <v>31976324.479570445</v>
      </c>
      <c r="H14" s="59" t="s">
        <v>35</v>
      </c>
      <c r="I14" s="134">
        <f>SUM(I4:I13)</f>
        <v>-25024636.024447363</v>
      </c>
      <c r="J14" s="135">
        <f>SUM(J4:J13)</f>
        <v>22550712.582706835</v>
      </c>
      <c r="K14" s="7"/>
      <c r="L14" s="7"/>
    </row>
    <row r="16" spans="1:12" ht="15.75" thickBot="1">
      <c r="H16" s="97" t="s">
        <v>139</v>
      </c>
      <c r="J16" s="145" t="s">
        <v>128</v>
      </c>
      <c r="K16" s="145" t="s">
        <v>137</v>
      </c>
    </row>
    <row r="17" spans="5:11" s="114" customFormat="1" ht="23.25" thickBot="1">
      <c r="H17" s="139" t="s">
        <v>116</v>
      </c>
      <c r="I17" s="141" t="s">
        <v>134</v>
      </c>
      <c r="J17" s="142">
        <f>'Prínosy - Agendové IS'!AA16/('Výdavky - Agendové IS'!V15)</f>
        <v>1.7400155183417156</v>
      </c>
      <c r="K17" s="146">
        <v>1</v>
      </c>
    </row>
    <row r="18" spans="5:11" s="114" customFormat="1" ht="23.25" thickBot="1">
      <c r="H18" s="140" t="s">
        <v>131</v>
      </c>
      <c r="I18" s="141" t="s">
        <v>135</v>
      </c>
      <c r="J18" s="143" t="e">
        <f>IRR($D$4:$D$13,0.01)</f>
        <v>#NUM!</v>
      </c>
      <c r="K18" s="147" t="s">
        <v>138</v>
      </c>
    </row>
    <row r="19" spans="5:11" s="114" customFormat="1" ht="34.5" thickBot="1">
      <c r="E19" s="136"/>
      <c r="H19" s="140" t="s">
        <v>132</v>
      </c>
      <c r="I19" s="141" t="s">
        <v>136</v>
      </c>
      <c r="J19" s="143">
        <f>IRR($G$4:$G$13,0.01)</f>
        <v>0.41110863200417991</v>
      </c>
      <c r="K19" s="147">
        <v>0.05</v>
      </c>
    </row>
    <row r="20" spans="5:11" ht="15.75" thickBot="1">
      <c r="H20" s="137"/>
      <c r="I20" s="138"/>
      <c r="J20" s="137"/>
      <c r="K20" s="148"/>
    </row>
    <row r="21" spans="5:11" s="114" customFormat="1" ht="34.5" thickBot="1">
      <c r="H21" s="140" t="s">
        <v>133</v>
      </c>
      <c r="I21" s="141" t="s">
        <v>260</v>
      </c>
      <c r="J21" s="144">
        <f>I14</f>
        <v>-25024636.024447363</v>
      </c>
      <c r="K21" s="149" t="s">
        <v>138</v>
      </c>
    </row>
    <row r="22" spans="5:11" s="114" customFormat="1" ht="34.5" thickBot="1">
      <c r="H22" s="140" t="s">
        <v>71</v>
      </c>
      <c r="I22" s="141" t="s">
        <v>259</v>
      </c>
      <c r="J22" s="144">
        <f>J14</f>
        <v>22550712.582706835</v>
      </c>
      <c r="K22" s="149">
        <v>0</v>
      </c>
    </row>
  </sheetData>
  <mergeCells count="6">
    <mergeCell ref="K3:L3"/>
    <mergeCell ref="B1:G1"/>
    <mergeCell ref="H1:L1"/>
    <mergeCell ref="B2:D2"/>
    <mergeCell ref="E2:G2"/>
    <mergeCell ref="K2:L2"/>
  </mergeCells>
  <conditionalFormatting sqref="L4:L13">
    <cfRule type="cellIs" dxfId="21" priority="1" stopIfTrue="1" operator="equal">
      <formula>"Rok návratu investície"</formula>
    </cfRule>
  </conditionalFormatting>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7">
    <tabColor theme="0" tint="-0.34998626667073579"/>
  </sheetPr>
  <dimension ref="A1:X22"/>
  <sheetViews>
    <sheetView view="pageBreakPreview" zoomScaleNormal="80" zoomScaleSheetLayoutView="100" workbookViewId="0">
      <selection activeCell="U4" sqref="U4"/>
    </sheetView>
  </sheetViews>
  <sheetFormatPr defaultColWidth="8.85546875" defaultRowHeight="15"/>
  <cols>
    <col min="2" max="2" width="4.42578125" bestFit="1" customWidth="1"/>
    <col min="3" max="3" width="14.28515625" customWidth="1"/>
    <col min="4" max="4" width="15.85546875" bestFit="1" customWidth="1"/>
    <col min="5" max="5" width="16.7109375" bestFit="1" customWidth="1"/>
    <col min="6" max="7" width="13.42578125" bestFit="1" customWidth="1"/>
    <col min="8" max="8" width="16.7109375" bestFit="1" customWidth="1"/>
    <col min="9" max="9" width="14.42578125" bestFit="1" customWidth="1"/>
    <col min="10" max="10" width="13.42578125" bestFit="1" customWidth="1"/>
    <col min="11" max="11" width="16.7109375" bestFit="1" customWidth="1"/>
    <col min="12" max="17" width="16.7109375" customWidth="1"/>
    <col min="18" max="18" width="13.42578125" bestFit="1" customWidth="1"/>
    <col min="19" max="19" width="15.85546875" bestFit="1" customWidth="1"/>
    <col min="20" max="20" width="15.28515625" customWidth="1"/>
    <col min="21" max="22" width="17" bestFit="1" customWidth="1"/>
    <col min="23" max="23" width="14.28515625" bestFit="1" customWidth="1"/>
  </cols>
  <sheetData>
    <row r="1" spans="1:24" ht="15.75" customHeight="1" thickBot="1">
      <c r="A1" s="644"/>
      <c r="B1" s="645"/>
      <c r="C1" s="766" t="s">
        <v>142</v>
      </c>
      <c r="D1" s="766"/>
      <c r="E1" s="766"/>
      <c r="F1" s="766"/>
      <c r="G1" s="766"/>
      <c r="H1" s="766"/>
      <c r="I1" s="766"/>
      <c r="J1" s="766"/>
      <c r="K1" s="766"/>
      <c r="L1" s="766"/>
      <c r="M1" s="766"/>
      <c r="N1" s="767"/>
      <c r="O1" s="765" t="s">
        <v>234</v>
      </c>
      <c r="P1" s="766"/>
      <c r="Q1" s="767"/>
      <c r="R1" s="764" t="s">
        <v>69</v>
      </c>
      <c r="S1" s="764"/>
      <c r="T1" s="764"/>
      <c r="U1" s="752" t="s">
        <v>70</v>
      </c>
      <c r="V1" s="753"/>
      <c r="W1" s="754"/>
    </row>
    <row r="2" spans="1:24" ht="15.75" customHeight="1" thickBot="1">
      <c r="A2" s="646"/>
      <c r="B2" s="640"/>
      <c r="C2" s="753" t="s">
        <v>66</v>
      </c>
      <c r="D2" s="753"/>
      <c r="E2" s="754"/>
      <c r="F2" s="753" t="s">
        <v>67</v>
      </c>
      <c r="G2" s="753"/>
      <c r="H2" s="754"/>
      <c r="I2" s="753" t="s">
        <v>106</v>
      </c>
      <c r="J2" s="753"/>
      <c r="K2" s="754"/>
      <c r="L2" s="753" t="s">
        <v>250</v>
      </c>
      <c r="M2" s="753"/>
      <c r="N2" s="754"/>
      <c r="O2" s="753"/>
      <c r="P2" s="753"/>
      <c r="Q2" s="754"/>
      <c r="R2" s="753" t="s">
        <v>68</v>
      </c>
      <c r="S2" s="753"/>
      <c r="T2" s="754"/>
      <c r="U2" s="8"/>
      <c r="V2" s="8"/>
      <c r="W2" s="35"/>
    </row>
    <row r="3" spans="1:24" ht="19.350000000000001" customHeight="1" thickBot="1">
      <c r="A3" s="36" t="s">
        <v>23</v>
      </c>
      <c r="B3" s="643" t="s">
        <v>100</v>
      </c>
      <c r="C3" s="37" t="s">
        <v>173</v>
      </c>
      <c r="D3" s="37" t="s">
        <v>126</v>
      </c>
      <c r="E3" s="38" t="s">
        <v>24</v>
      </c>
      <c r="F3" s="37" t="s">
        <v>173</v>
      </c>
      <c r="G3" s="37" t="s">
        <v>126</v>
      </c>
      <c r="H3" s="38" t="s">
        <v>24</v>
      </c>
      <c r="I3" s="37" t="s">
        <v>173</v>
      </c>
      <c r="J3" s="37" t="s">
        <v>126</v>
      </c>
      <c r="K3" s="38" t="s">
        <v>24</v>
      </c>
      <c r="L3" s="37" t="s">
        <v>173</v>
      </c>
      <c r="M3" s="37" t="s">
        <v>126</v>
      </c>
      <c r="N3" s="38" t="s">
        <v>24</v>
      </c>
      <c r="O3" s="37" t="s">
        <v>173</v>
      </c>
      <c r="P3" s="37" t="s">
        <v>126</v>
      </c>
      <c r="Q3" s="38" t="s">
        <v>24</v>
      </c>
      <c r="R3" s="37" t="s">
        <v>173</v>
      </c>
      <c r="S3" s="37" t="s">
        <v>126</v>
      </c>
      <c r="T3" s="38" t="s">
        <v>24</v>
      </c>
      <c r="U3" s="37" t="s">
        <v>173</v>
      </c>
      <c r="V3" s="37" t="s">
        <v>126</v>
      </c>
      <c r="W3" s="38" t="s">
        <v>24</v>
      </c>
    </row>
    <row r="4" spans="1:24">
      <c r="A4" s="24" t="s">
        <v>25</v>
      </c>
      <c r="B4" s="63">
        <v>1</v>
      </c>
      <c r="C4" s="26">
        <f>TCO!D26+TCO!D27</f>
        <v>0</v>
      </c>
      <c r="D4" s="25">
        <f>(TCO!D$12*(1+$X$5))+TCO!D$13</f>
        <v>0</v>
      </c>
      <c r="E4" s="32">
        <f>D4-C4</f>
        <v>0</v>
      </c>
      <c r="F4" s="26">
        <f>TCO!D22+TCO!D23</f>
        <v>0</v>
      </c>
      <c r="G4" s="25">
        <f>(TCO!D$7*(1+$X$5))+TCO!D$8</f>
        <v>4400000</v>
      </c>
      <c r="H4" s="32">
        <f>G4-F4</f>
        <v>4400000</v>
      </c>
      <c r="I4" s="25">
        <f>TCO!D24+TCO!D25</f>
        <v>0</v>
      </c>
      <c r="J4" s="25">
        <f>(TCO!D$9*(1+$X$5))+TCO!D$10</f>
        <v>2353821.6747545991</v>
      </c>
      <c r="K4" s="32">
        <f>J4-I4</f>
        <v>2353821.6747545991</v>
      </c>
      <c r="L4" s="26">
        <v>0</v>
      </c>
      <c r="M4" s="26">
        <f>TCO!D11</f>
        <v>0</v>
      </c>
      <c r="N4" s="32">
        <f>M4-L4</f>
        <v>0</v>
      </c>
      <c r="O4" s="26">
        <v>0</v>
      </c>
      <c r="P4" s="26">
        <f>TCO!D14</f>
        <v>712677.14630000014</v>
      </c>
      <c r="Q4" s="32">
        <f>P4-O4</f>
        <v>712677.14630000014</v>
      </c>
      <c r="R4" s="26">
        <f>'Parametre - Agendové IS'!D106</f>
        <v>0</v>
      </c>
      <c r="S4" s="26">
        <f>'Parametre - Agendové IS'!E106</f>
        <v>0</v>
      </c>
      <c r="T4" s="32">
        <f t="shared" ref="T4:T13" si="0">IF(ISERR(S4-R4),"-",S4-R4)</f>
        <v>0</v>
      </c>
      <c r="U4" s="25">
        <f>SUM(C4,F4,I4,L4,O4,R4)</f>
        <v>0</v>
      </c>
      <c r="V4" s="25">
        <f>((D4+G4+M4+P4+J4)*(1+$X$4))+S4</f>
        <v>7466498.8210545992</v>
      </c>
      <c r="W4" s="32">
        <f>V4-U4</f>
        <v>7466498.8210545992</v>
      </c>
      <c r="X4" s="163">
        <f>'Analyza citlivosti - AgendovéIS'!B7</f>
        <v>0</v>
      </c>
    </row>
    <row r="5" spans="1:24">
      <c r="A5" s="24" t="s">
        <v>26</v>
      </c>
      <c r="B5" s="64">
        <v>2</v>
      </c>
      <c r="C5" s="26">
        <f>TCO!E26+TCO!E27</f>
        <v>0</v>
      </c>
      <c r="D5" s="25">
        <f>(TCO!E$12*(1+$X$5))+TCO!E$13</f>
        <v>0</v>
      </c>
      <c r="E5" s="28">
        <f t="shared" ref="E5:E13" si="1">D5-C5</f>
        <v>0</v>
      </c>
      <c r="F5" s="26">
        <f>TCO!E22+TCO!E23</f>
        <v>0</v>
      </c>
      <c r="G5" s="25">
        <f>(TCO!E$7*(1+$X$5))+TCO!E$8</f>
        <v>0</v>
      </c>
      <c r="H5" s="28">
        <f t="shared" ref="H5:H13" si="2">G5-F5</f>
        <v>0</v>
      </c>
      <c r="I5" s="25">
        <f>TCO!E24+TCO!E25</f>
        <v>0</v>
      </c>
      <c r="J5" s="25">
        <f>(TCO!E$9*(1+$X$5))+TCO!E$10</f>
        <v>2016092.8431592281</v>
      </c>
      <c r="K5" s="28">
        <f t="shared" ref="K5:K13" si="3">J5-I5</f>
        <v>2016092.8431592281</v>
      </c>
      <c r="L5" s="26">
        <v>0</v>
      </c>
      <c r="M5" s="26">
        <f>TCO!E11</f>
        <v>0</v>
      </c>
      <c r="N5" s="28">
        <f t="shared" ref="N5:N13" si="4">M5-L5</f>
        <v>0</v>
      </c>
      <c r="O5" s="26">
        <v>0</v>
      </c>
      <c r="P5" s="26">
        <f>TCO!E14</f>
        <v>45024</v>
      </c>
      <c r="Q5" s="28">
        <f t="shared" ref="Q5:Q13" si="5">P5-O5</f>
        <v>45024</v>
      </c>
      <c r="R5" s="26">
        <f>'Parametre - Agendové IS'!D107</f>
        <v>0</v>
      </c>
      <c r="S5" s="26">
        <f>'Parametre - Agendové IS'!E107</f>
        <v>0</v>
      </c>
      <c r="T5" s="28">
        <f t="shared" si="0"/>
        <v>0</v>
      </c>
      <c r="U5" s="25">
        <f t="shared" ref="U5:U13" si="6">SUM(C5,F5,I5,L5,O5,R5)</f>
        <v>0</v>
      </c>
      <c r="V5" s="25">
        <f t="shared" ref="V5:V13" si="7">((D5+G5+M5+P5+J5)*(1+$X$4))+S5</f>
        <v>2061116.8431592281</v>
      </c>
      <c r="W5" s="28">
        <f t="shared" ref="W5:W13" si="8">V5-U5</f>
        <v>2061116.8431592281</v>
      </c>
      <c r="X5" s="163">
        <f>'Analyza citlivosti - AgendovéIS'!E7</f>
        <v>0</v>
      </c>
    </row>
    <row r="6" spans="1:24">
      <c r="A6" s="24" t="s">
        <v>27</v>
      </c>
      <c r="B6" s="64">
        <v>3</v>
      </c>
      <c r="C6" s="26">
        <f>TCO!F26+TCO!F27</f>
        <v>0</v>
      </c>
      <c r="D6" s="25">
        <f>(TCO!F$12*(1+$X$5))+TCO!F$13</f>
        <v>0</v>
      </c>
      <c r="E6" s="28">
        <f t="shared" si="1"/>
        <v>0</v>
      </c>
      <c r="F6" s="26">
        <f>TCO!F22+TCO!F23</f>
        <v>0</v>
      </c>
      <c r="G6" s="25">
        <f>(TCO!F$7*(1+$X$5))+TCO!F$8</f>
        <v>880000</v>
      </c>
      <c r="H6" s="28">
        <f t="shared" si="2"/>
        <v>880000</v>
      </c>
      <c r="I6" s="25">
        <f>TCO!F24+TCO!F25</f>
        <v>0</v>
      </c>
      <c r="J6" s="25">
        <f>(TCO!F$9*(1+$X$5))+TCO!F$10</f>
        <v>4159532.6596694812</v>
      </c>
      <c r="K6" s="28">
        <f t="shared" si="3"/>
        <v>4159532.6596694812</v>
      </c>
      <c r="L6" s="26">
        <v>0</v>
      </c>
      <c r="M6" s="26">
        <f>TCO!F11</f>
        <v>0</v>
      </c>
      <c r="N6" s="28">
        <f t="shared" si="4"/>
        <v>0</v>
      </c>
      <c r="O6" s="26">
        <v>0</v>
      </c>
      <c r="P6" s="26">
        <f>TCO!F14</f>
        <v>22512</v>
      </c>
      <c r="Q6" s="28">
        <f t="shared" si="5"/>
        <v>22512</v>
      </c>
      <c r="R6" s="26">
        <f>'Parametre - Agendové IS'!D108</f>
        <v>0</v>
      </c>
      <c r="S6" s="26">
        <f>'Parametre - Agendové IS'!E108</f>
        <v>0</v>
      </c>
      <c r="T6" s="28">
        <f t="shared" si="0"/>
        <v>0</v>
      </c>
      <c r="U6" s="25">
        <f t="shared" si="6"/>
        <v>0</v>
      </c>
      <c r="V6" s="25">
        <f t="shared" si="7"/>
        <v>5062044.6596694812</v>
      </c>
      <c r="W6" s="28">
        <f t="shared" si="8"/>
        <v>5062044.6596694812</v>
      </c>
    </row>
    <row r="7" spans="1:24">
      <c r="A7" s="24" t="s">
        <v>28</v>
      </c>
      <c r="B7" s="64">
        <v>4</v>
      </c>
      <c r="C7" s="26">
        <f>TCO!G26+TCO!G27</f>
        <v>0</v>
      </c>
      <c r="D7" s="25">
        <f>(TCO!G$12*(1+$X$5))+TCO!G$13</f>
        <v>0</v>
      </c>
      <c r="E7" s="28">
        <f t="shared" si="1"/>
        <v>0</v>
      </c>
      <c r="F7" s="26">
        <f>TCO!G22+TCO!G23</f>
        <v>0</v>
      </c>
      <c r="G7" s="25">
        <f>(TCO!G$7*(1+$X$5))+TCO!G$8</f>
        <v>880000</v>
      </c>
      <c r="H7" s="28">
        <f t="shared" si="2"/>
        <v>880000</v>
      </c>
      <c r="I7" s="25">
        <f>TCO!G24+TCO!G25</f>
        <v>0</v>
      </c>
      <c r="J7" s="25">
        <f>(TCO!G$9*(1+$X$5))+TCO!G$10</f>
        <v>1083540.0992999999</v>
      </c>
      <c r="K7" s="28">
        <f t="shared" si="3"/>
        <v>1083540.0992999999</v>
      </c>
      <c r="L7" s="26">
        <v>0</v>
      </c>
      <c r="M7" s="26">
        <f>TCO!G11</f>
        <v>0</v>
      </c>
      <c r="N7" s="28">
        <f t="shared" si="4"/>
        <v>0</v>
      </c>
      <c r="O7" s="26">
        <v>0</v>
      </c>
      <c r="P7" s="26">
        <f>TCO!G14</f>
        <v>0</v>
      </c>
      <c r="Q7" s="28">
        <f t="shared" si="5"/>
        <v>0</v>
      </c>
      <c r="R7" s="26">
        <f>'Parametre - Agendové IS'!D109</f>
        <v>0</v>
      </c>
      <c r="S7" s="26">
        <f>'Parametre - Agendové IS'!E109</f>
        <v>0</v>
      </c>
      <c r="T7" s="28">
        <f t="shared" si="0"/>
        <v>0</v>
      </c>
      <c r="U7" s="25">
        <f t="shared" si="6"/>
        <v>0</v>
      </c>
      <c r="V7" s="25">
        <f t="shared" si="7"/>
        <v>1963540.0992999999</v>
      </c>
      <c r="W7" s="28">
        <f t="shared" si="8"/>
        <v>1963540.0992999999</v>
      </c>
    </row>
    <row r="8" spans="1:24">
      <c r="A8" s="24" t="s">
        <v>29</v>
      </c>
      <c r="B8" s="64">
        <v>5</v>
      </c>
      <c r="C8" s="26">
        <f>TCO!H26+TCO!H27</f>
        <v>0</v>
      </c>
      <c r="D8" s="25">
        <f>(TCO!H$12*(1+$X$5))+TCO!H$13</f>
        <v>0</v>
      </c>
      <c r="E8" s="28">
        <f t="shared" si="1"/>
        <v>0</v>
      </c>
      <c r="F8" s="26">
        <f>TCO!H22+TCO!H23</f>
        <v>0</v>
      </c>
      <c r="G8" s="25">
        <f>(TCO!H$7*(1+$X$5))+TCO!H$8</f>
        <v>880000</v>
      </c>
      <c r="H8" s="28">
        <f t="shared" si="2"/>
        <v>880000</v>
      </c>
      <c r="I8" s="25">
        <f>TCO!H24+TCO!H25</f>
        <v>0</v>
      </c>
      <c r="J8" s="25">
        <f>(TCO!H$9*(1+$X$5))+TCO!H$10</f>
        <v>1083540.0992999999</v>
      </c>
      <c r="K8" s="28">
        <f t="shared" si="3"/>
        <v>1083540.0992999999</v>
      </c>
      <c r="L8" s="26">
        <v>0</v>
      </c>
      <c r="M8" s="26">
        <f>TCO!H11</f>
        <v>0</v>
      </c>
      <c r="N8" s="28">
        <f t="shared" si="4"/>
        <v>0</v>
      </c>
      <c r="O8" s="26">
        <v>0</v>
      </c>
      <c r="P8" s="26">
        <f>TCO!H14</f>
        <v>0</v>
      </c>
      <c r="Q8" s="28">
        <f t="shared" si="5"/>
        <v>0</v>
      </c>
      <c r="R8" s="26">
        <f>'Parametre - Agendové IS'!D110</f>
        <v>0</v>
      </c>
      <c r="S8" s="26">
        <f>'Parametre - Agendové IS'!E110</f>
        <v>0</v>
      </c>
      <c r="T8" s="28">
        <f t="shared" si="0"/>
        <v>0</v>
      </c>
      <c r="U8" s="25">
        <f t="shared" si="6"/>
        <v>0</v>
      </c>
      <c r="V8" s="25">
        <f t="shared" si="7"/>
        <v>1963540.0992999999</v>
      </c>
      <c r="W8" s="28">
        <f t="shared" si="8"/>
        <v>1963540.0992999999</v>
      </c>
    </row>
    <row r="9" spans="1:24">
      <c r="A9" s="24" t="s">
        <v>30</v>
      </c>
      <c r="B9" s="64">
        <v>6</v>
      </c>
      <c r="C9" s="26">
        <f>TCO!I26+TCO!I27</f>
        <v>0</v>
      </c>
      <c r="D9" s="25">
        <f>(TCO!I$12*(1+$X$5))+TCO!I$13</f>
        <v>0</v>
      </c>
      <c r="E9" s="28">
        <f t="shared" si="1"/>
        <v>0</v>
      </c>
      <c r="F9" s="26">
        <f>TCO!I22+TCO!I23</f>
        <v>0</v>
      </c>
      <c r="G9" s="25">
        <f>(TCO!I$7*(1+$X$5))+TCO!I$8</f>
        <v>880000</v>
      </c>
      <c r="H9" s="28">
        <f t="shared" si="2"/>
        <v>880000</v>
      </c>
      <c r="I9" s="25">
        <f>TCO!I24+TCO!I25</f>
        <v>0</v>
      </c>
      <c r="J9" s="25">
        <f>(TCO!I$9*(1+$X$5))+TCO!I$10</f>
        <v>1083540.0992999999</v>
      </c>
      <c r="K9" s="28">
        <f t="shared" si="3"/>
        <v>1083540.0992999999</v>
      </c>
      <c r="L9" s="26">
        <v>0</v>
      </c>
      <c r="M9" s="26">
        <f>TCO!I11</f>
        <v>0</v>
      </c>
      <c r="N9" s="28">
        <f t="shared" si="4"/>
        <v>0</v>
      </c>
      <c r="O9" s="26">
        <v>0</v>
      </c>
      <c r="P9" s="26">
        <f>TCO!I14</f>
        <v>0</v>
      </c>
      <c r="Q9" s="28">
        <f t="shared" si="5"/>
        <v>0</v>
      </c>
      <c r="R9" s="26">
        <f>'Parametre - Agendové IS'!D111</f>
        <v>0</v>
      </c>
      <c r="S9" s="26">
        <f>'Parametre - Agendové IS'!E111</f>
        <v>0</v>
      </c>
      <c r="T9" s="28">
        <f t="shared" si="0"/>
        <v>0</v>
      </c>
      <c r="U9" s="25">
        <f t="shared" si="6"/>
        <v>0</v>
      </c>
      <c r="V9" s="25">
        <f t="shared" si="7"/>
        <v>1963540.0992999999</v>
      </c>
      <c r="W9" s="28">
        <f t="shared" si="8"/>
        <v>1963540.0992999999</v>
      </c>
    </row>
    <row r="10" spans="1:24">
      <c r="A10" s="24" t="s">
        <v>31</v>
      </c>
      <c r="B10" s="64">
        <v>7</v>
      </c>
      <c r="C10" s="26">
        <f>TCO!J26+TCO!J27</f>
        <v>0</v>
      </c>
      <c r="D10" s="25">
        <f>(TCO!J$12*(1+$X$5))+TCO!J$13</f>
        <v>0</v>
      </c>
      <c r="E10" s="28">
        <f t="shared" si="1"/>
        <v>0</v>
      </c>
      <c r="F10" s="26">
        <f>TCO!J22+TCO!J23</f>
        <v>0</v>
      </c>
      <c r="G10" s="25">
        <f>(TCO!J$7*(1+$X$5))+TCO!J$8</f>
        <v>880000</v>
      </c>
      <c r="H10" s="28">
        <f t="shared" si="2"/>
        <v>880000</v>
      </c>
      <c r="I10" s="25">
        <f>TCO!J24+TCO!J25</f>
        <v>0</v>
      </c>
      <c r="J10" s="25">
        <f>(TCO!J$9*(1+$X$5))+TCO!J$10</f>
        <v>1083540.0992999999</v>
      </c>
      <c r="K10" s="28">
        <f t="shared" si="3"/>
        <v>1083540.0992999999</v>
      </c>
      <c r="L10" s="26">
        <v>0</v>
      </c>
      <c r="M10" s="26">
        <f>TCO!J11</f>
        <v>0</v>
      </c>
      <c r="N10" s="28">
        <f t="shared" si="4"/>
        <v>0</v>
      </c>
      <c r="O10" s="26">
        <v>0</v>
      </c>
      <c r="P10" s="26">
        <f>TCO!J14</f>
        <v>0</v>
      </c>
      <c r="Q10" s="28">
        <f t="shared" si="5"/>
        <v>0</v>
      </c>
      <c r="R10" s="26">
        <f>'Parametre - Agendové IS'!D112</f>
        <v>0</v>
      </c>
      <c r="S10" s="26">
        <f>'Parametre - Agendové IS'!E112</f>
        <v>0</v>
      </c>
      <c r="T10" s="28">
        <f t="shared" si="0"/>
        <v>0</v>
      </c>
      <c r="U10" s="25">
        <f t="shared" si="6"/>
        <v>0</v>
      </c>
      <c r="V10" s="25">
        <f t="shared" si="7"/>
        <v>1963540.0992999999</v>
      </c>
      <c r="W10" s="28">
        <f t="shared" si="8"/>
        <v>1963540.0992999999</v>
      </c>
    </row>
    <row r="11" spans="1:24">
      <c r="A11" s="24" t="s">
        <v>32</v>
      </c>
      <c r="B11" s="64">
        <v>8</v>
      </c>
      <c r="C11" s="26">
        <f>TCO!K26+TCO!K27</f>
        <v>0</v>
      </c>
      <c r="D11" s="25">
        <f>(TCO!K$12*(1+$X$5))+TCO!K$13</f>
        <v>0</v>
      </c>
      <c r="E11" s="28">
        <f t="shared" si="1"/>
        <v>0</v>
      </c>
      <c r="F11" s="26">
        <f>TCO!K22+TCO!K23</f>
        <v>0</v>
      </c>
      <c r="G11" s="25">
        <f>(TCO!K$7*(1+$X$5))+TCO!K$8</f>
        <v>880000</v>
      </c>
      <c r="H11" s="28">
        <f t="shared" si="2"/>
        <v>880000</v>
      </c>
      <c r="I11" s="25">
        <f>TCO!K24+TCO!K25</f>
        <v>0</v>
      </c>
      <c r="J11" s="25">
        <f>(TCO!K$9*(1+$X$5))+TCO!K$10</f>
        <v>1083540.0992999999</v>
      </c>
      <c r="K11" s="28">
        <f t="shared" si="3"/>
        <v>1083540.0992999999</v>
      </c>
      <c r="L11" s="26">
        <v>0</v>
      </c>
      <c r="M11" s="26">
        <f>TCO!K11</f>
        <v>0</v>
      </c>
      <c r="N11" s="28">
        <f t="shared" si="4"/>
        <v>0</v>
      </c>
      <c r="O11" s="26">
        <v>0</v>
      </c>
      <c r="P11" s="26">
        <f>TCO!K14</f>
        <v>0</v>
      </c>
      <c r="Q11" s="28">
        <f t="shared" si="5"/>
        <v>0</v>
      </c>
      <c r="R11" s="26">
        <f>'Parametre - Agendové IS'!D113</f>
        <v>0</v>
      </c>
      <c r="S11" s="26">
        <f>'Parametre - Agendové IS'!E113</f>
        <v>0</v>
      </c>
      <c r="T11" s="28">
        <f t="shared" si="0"/>
        <v>0</v>
      </c>
      <c r="U11" s="25">
        <f t="shared" si="6"/>
        <v>0</v>
      </c>
      <c r="V11" s="25">
        <f t="shared" si="7"/>
        <v>1963540.0992999999</v>
      </c>
      <c r="W11" s="28">
        <f t="shared" si="8"/>
        <v>1963540.0992999999</v>
      </c>
    </row>
    <row r="12" spans="1:24">
      <c r="A12" s="24" t="s">
        <v>33</v>
      </c>
      <c r="B12" s="64">
        <v>9</v>
      </c>
      <c r="C12" s="26">
        <f>TCO!L26+TCO!L27</f>
        <v>0</v>
      </c>
      <c r="D12" s="25">
        <f>(TCO!L$12*(1+$X$5))+TCO!L$13</f>
        <v>0</v>
      </c>
      <c r="E12" s="28">
        <f t="shared" si="1"/>
        <v>0</v>
      </c>
      <c r="F12" s="26">
        <f>TCO!L22+TCO!L23</f>
        <v>0</v>
      </c>
      <c r="G12" s="25">
        <f>(TCO!L$7*(1+$X$5))+TCO!L$8</f>
        <v>880000</v>
      </c>
      <c r="H12" s="28">
        <f t="shared" si="2"/>
        <v>880000</v>
      </c>
      <c r="I12" s="25">
        <f>TCO!L24+TCO!L25</f>
        <v>0</v>
      </c>
      <c r="J12" s="25">
        <f>(TCO!L$9*(1+$X$5))+TCO!L$10</f>
        <v>1083540.0992999999</v>
      </c>
      <c r="K12" s="28">
        <f t="shared" si="3"/>
        <v>1083540.0992999999</v>
      </c>
      <c r="L12" s="26">
        <v>0</v>
      </c>
      <c r="M12" s="26">
        <f>TCO!L11</f>
        <v>0</v>
      </c>
      <c r="N12" s="28">
        <f t="shared" si="4"/>
        <v>0</v>
      </c>
      <c r="O12" s="26">
        <v>0</v>
      </c>
      <c r="P12" s="26">
        <f>TCO!L14</f>
        <v>0</v>
      </c>
      <c r="Q12" s="28">
        <f t="shared" si="5"/>
        <v>0</v>
      </c>
      <c r="R12" s="26">
        <f>'Parametre - Agendové IS'!D114</f>
        <v>0</v>
      </c>
      <c r="S12" s="26">
        <f>'Parametre - Agendové IS'!E114</f>
        <v>0</v>
      </c>
      <c r="T12" s="28">
        <f t="shared" si="0"/>
        <v>0</v>
      </c>
      <c r="U12" s="25">
        <f t="shared" si="6"/>
        <v>0</v>
      </c>
      <c r="V12" s="25">
        <f t="shared" si="7"/>
        <v>1963540.0992999999</v>
      </c>
      <c r="W12" s="28">
        <f t="shared" si="8"/>
        <v>1963540.0992999999</v>
      </c>
    </row>
    <row r="13" spans="1:24" ht="15.75" thickBot="1">
      <c r="A13" s="24" t="s">
        <v>34</v>
      </c>
      <c r="B13" s="65">
        <v>10</v>
      </c>
      <c r="C13" s="43">
        <f>TCO!M26+TCO!M27</f>
        <v>0</v>
      </c>
      <c r="D13" s="39">
        <f>(TCO!M$12*(1+$X$5))+TCO!M$13</f>
        <v>0</v>
      </c>
      <c r="E13" s="124">
        <f t="shared" si="1"/>
        <v>0</v>
      </c>
      <c r="F13" s="26">
        <f>TCO!M22+TCO!M23</f>
        <v>0</v>
      </c>
      <c r="G13" s="39">
        <f>(TCO!M$7*(1+$X$5))+TCO!M$8</f>
        <v>880000</v>
      </c>
      <c r="H13" s="124">
        <f t="shared" si="2"/>
        <v>880000</v>
      </c>
      <c r="I13" s="39">
        <f>TCO!M24+TCO!M25</f>
        <v>0</v>
      </c>
      <c r="J13" s="39">
        <f>(TCO!M$9*(1+$X$5))+TCO!M$10</f>
        <v>1083540.0992999999</v>
      </c>
      <c r="K13" s="124">
        <f t="shared" si="3"/>
        <v>1083540.0992999999</v>
      </c>
      <c r="L13" s="43">
        <v>0</v>
      </c>
      <c r="M13" s="43">
        <f>TCO!M11</f>
        <v>0</v>
      </c>
      <c r="N13" s="124">
        <f t="shared" si="4"/>
        <v>0</v>
      </c>
      <c r="O13" s="43">
        <v>0</v>
      </c>
      <c r="P13" s="43">
        <f>TCO!M14</f>
        <v>0</v>
      </c>
      <c r="Q13" s="124">
        <f t="shared" si="5"/>
        <v>0</v>
      </c>
      <c r="R13" s="43">
        <f>'Parametre - Agendové IS'!D115</f>
        <v>0</v>
      </c>
      <c r="S13" s="43">
        <f>'Parametre - Agendové IS'!E115</f>
        <v>0</v>
      </c>
      <c r="T13" s="124">
        <f t="shared" si="0"/>
        <v>0</v>
      </c>
      <c r="U13" s="25">
        <f t="shared" si="6"/>
        <v>0</v>
      </c>
      <c r="V13" s="25">
        <f t="shared" si="7"/>
        <v>1963540.0992999999</v>
      </c>
      <c r="W13" s="124">
        <f t="shared" si="8"/>
        <v>1963540.0992999999</v>
      </c>
    </row>
    <row r="14" spans="1:24">
      <c r="A14" s="760" t="s">
        <v>104</v>
      </c>
      <c r="B14" s="761"/>
      <c r="C14" s="347">
        <f>SUM(C4:C13)</f>
        <v>0</v>
      </c>
      <c r="D14" s="345">
        <f t="shared" ref="D14:T14" si="9">SUM(D4:D13)</f>
        <v>0</v>
      </c>
      <c r="E14" s="344">
        <f t="shared" si="9"/>
        <v>0</v>
      </c>
      <c r="F14" s="347">
        <f t="shared" si="9"/>
        <v>0</v>
      </c>
      <c r="G14" s="345">
        <f t="shared" si="9"/>
        <v>11440000</v>
      </c>
      <c r="H14" s="344">
        <f t="shared" si="9"/>
        <v>11440000</v>
      </c>
      <c r="I14" s="347">
        <f t="shared" si="9"/>
        <v>0</v>
      </c>
      <c r="J14" s="345">
        <f t="shared" si="9"/>
        <v>16114227.872683313</v>
      </c>
      <c r="K14" s="344">
        <f t="shared" si="9"/>
        <v>16114227.872683313</v>
      </c>
      <c r="L14" s="347">
        <f t="shared" ref="L14:Q14" si="10">SUM(L4:L13)</f>
        <v>0</v>
      </c>
      <c r="M14" s="345">
        <f t="shared" si="10"/>
        <v>0</v>
      </c>
      <c r="N14" s="344">
        <f t="shared" si="10"/>
        <v>0</v>
      </c>
      <c r="O14" s="347">
        <f t="shared" si="10"/>
        <v>0</v>
      </c>
      <c r="P14" s="345">
        <f t="shared" si="10"/>
        <v>780213.14630000014</v>
      </c>
      <c r="Q14" s="344">
        <f t="shared" si="10"/>
        <v>780213.14630000014</v>
      </c>
      <c r="R14" s="347">
        <f t="shared" si="9"/>
        <v>0</v>
      </c>
      <c r="S14" s="345">
        <f t="shared" si="9"/>
        <v>0</v>
      </c>
      <c r="T14" s="344">
        <f t="shared" si="9"/>
        <v>0</v>
      </c>
      <c r="U14" s="356">
        <f>SUM(U4:U13)</f>
        <v>0</v>
      </c>
      <c r="V14" s="357">
        <f>SUM(V4:V13)</f>
        <v>28334441.018983312</v>
      </c>
      <c r="W14" s="358">
        <f>SUM(W4:W13)</f>
        <v>28334441.018983312</v>
      </c>
    </row>
    <row r="15" spans="1:24" ht="15.75" thickBot="1">
      <c r="A15" s="762" t="s">
        <v>120</v>
      </c>
      <c r="B15" s="763"/>
      <c r="C15" s="355"/>
      <c r="D15" s="353">
        <f>D4+NPV(Faktory!$D$5,D5:D13)</f>
        <v>0</v>
      </c>
      <c r="E15" s="351">
        <f>E4+NPV(Faktory!$D$5,E5:E13)</f>
        <v>0</v>
      </c>
      <c r="F15" s="355"/>
      <c r="G15" s="353">
        <f>G4+NPV(Faktory!$D$5,G5:G13)</f>
        <v>9816787.836471526</v>
      </c>
      <c r="H15" s="351">
        <f>H4+NPV(Faktory!$D$5,H5:H13)</f>
        <v>9816787.836471526</v>
      </c>
      <c r="I15" s="355"/>
      <c r="J15" s="353">
        <f>J4+NPV(Faktory!$D$5,J5:J13)</f>
        <v>13733592.877103541</v>
      </c>
      <c r="K15" s="351">
        <f>K4+NPV(Faktory!$D$5,K5:K13)</f>
        <v>13733592.877103541</v>
      </c>
      <c r="L15" s="355"/>
      <c r="M15" s="353">
        <f>M4+NPV(Faktory!$D$5,M5:M13)</f>
        <v>0</v>
      </c>
      <c r="N15" s="351">
        <f>N4+NPV(Faktory!$D$5,N5:N13)</f>
        <v>0</v>
      </c>
      <c r="O15" s="355"/>
      <c r="P15" s="353">
        <f>P4+NPV(Faktory!$D$5,P5:P13)</f>
        <v>775976.19391904771</v>
      </c>
      <c r="Q15" s="351">
        <f>Q4+NPV(Faktory!$D$5,Q5:Q13)</f>
        <v>775976.19391904771</v>
      </c>
      <c r="R15" s="355"/>
      <c r="S15" s="353">
        <f>S4+NPV(Faktory!$D$5,S5:S13)</f>
        <v>0</v>
      </c>
      <c r="T15" s="351">
        <f>T4+NPV(Faktory!$D$5,T5:T13)</f>
        <v>0</v>
      </c>
      <c r="U15" s="359"/>
      <c r="V15" s="353">
        <f>V4+NPV(Faktory!$D$5,V5:V13)</f>
        <v>24326356.90749412</v>
      </c>
      <c r="W15" s="360">
        <f>W4+NPV(Faktory!$D$5,W5:W13)</f>
        <v>24326356.90749412</v>
      </c>
    </row>
    <row r="16" spans="1:24">
      <c r="A16" s="7"/>
      <c r="B16" s="7"/>
      <c r="C16" s="7"/>
      <c r="D16" s="7"/>
      <c r="E16" s="116"/>
      <c r="F16" s="7"/>
      <c r="G16" s="7"/>
      <c r="H16" s="116"/>
      <c r="I16" s="7"/>
      <c r="J16" s="7"/>
      <c r="K16" s="116"/>
      <c r="L16" s="116"/>
      <c r="M16" s="116"/>
      <c r="N16" s="116"/>
      <c r="O16" s="116"/>
      <c r="P16" s="116"/>
      <c r="Q16" s="116"/>
      <c r="R16" s="7"/>
      <c r="S16" s="7"/>
      <c r="T16" s="116"/>
      <c r="U16" s="125"/>
      <c r="V16" s="125"/>
      <c r="W16" s="125"/>
    </row>
    <row r="17" spans="1:3">
      <c r="A17" s="7"/>
      <c r="B17" s="7"/>
      <c r="C17" s="97" t="s">
        <v>130</v>
      </c>
    </row>
    <row r="22" spans="1:3">
      <c r="C22" s="126"/>
    </row>
  </sheetData>
  <mergeCells count="12">
    <mergeCell ref="A14:B14"/>
    <mergeCell ref="A15:B15"/>
    <mergeCell ref="R1:T1"/>
    <mergeCell ref="U1:W1"/>
    <mergeCell ref="C2:E2"/>
    <mergeCell ref="F2:H2"/>
    <mergeCell ref="I2:K2"/>
    <mergeCell ref="R2:T2"/>
    <mergeCell ref="O1:Q1"/>
    <mergeCell ref="O2:Q2"/>
    <mergeCell ref="L2:N2"/>
    <mergeCell ref="C1:N1"/>
  </mergeCells>
  <pageMargins left="0.7" right="0.7" top="0.75" bottom="0.75" header="0.3" footer="0.3"/>
  <pageSetup paperSize="9" scale="2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AA38"/>
  <sheetViews>
    <sheetView view="pageBreakPreview" topLeftCell="I1" zoomScaleNormal="85" zoomScaleSheetLayoutView="100" workbookViewId="0">
      <selection activeCell="Y4" sqref="Y4"/>
    </sheetView>
  </sheetViews>
  <sheetFormatPr defaultColWidth="8.85546875" defaultRowHeight="15"/>
  <cols>
    <col min="1" max="1" width="9.42578125" customWidth="1"/>
    <col min="2" max="2" width="4.42578125" bestFit="1" customWidth="1"/>
    <col min="3" max="4" width="14.28515625" bestFit="1" customWidth="1"/>
    <col min="5" max="9" width="13.42578125" customWidth="1"/>
    <col min="10" max="10" width="11.140625" customWidth="1"/>
    <col min="11" max="11" width="12" customWidth="1"/>
    <col min="13" max="13" width="12" customWidth="1"/>
    <col min="14" max="14" width="14" customWidth="1"/>
    <col min="15" max="15" width="14.85546875" customWidth="1"/>
    <col min="16" max="16" width="13.42578125" customWidth="1"/>
    <col min="17" max="17" width="13.42578125" bestFit="1" customWidth="1"/>
    <col min="18" max="21" width="13.85546875" customWidth="1"/>
    <col min="22" max="22" width="14.7109375" customWidth="1"/>
    <col min="23" max="23" width="14" customWidth="1"/>
    <col min="24" max="24" width="14.42578125" customWidth="1"/>
    <col min="25" max="25" width="14.28515625" bestFit="1" customWidth="1"/>
    <col min="26" max="26" width="13.7109375" customWidth="1"/>
    <col min="27" max="27" width="15.42578125" customWidth="1"/>
  </cols>
  <sheetData>
    <row r="1" spans="1:27" ht="15.75" customHeight="1" thickBot="1">
      <c r="A1" s="18"/>
      <c r="B1" s="35"/>
      <c r="C1" s="752" t="s">
        <v>44</v>
      </c>
      <c r="D1" s="753"/>
      <c r="E1" s="753"/>
      <c r="F1" s="753"/>
      <c r="G1" s="753"/>
      <c r="H1" s="753"/>
      <c r="I1" s="754"/>
      <c r="J1" s="752" t="s">
        <v>45</v>
      </c>
      <c r="K1" s="753"/>
      <c r="L1" s="753"/>
      <c r="M1" s="753"/>
      <c r="N1" s="753"/>
      <c r="O1" s="753"/>
      <c r="P1" s="753"/>
      <c r="Q1" s="753"/>
      <c r="R1" s="753"/>
      <c r="S1" s="753"/>
      <c r="T1" s="753"/>
      <c r="U1" s="754"/>
      <c r="V1" s="755" t="s">
        <v>46</v>
      </c>
      <c r="W1" s="756"/>
      <c r="X1" s="756"/>
      <c r="Y1" s="756"/>
      <c r="Z1" s="756"/>
      <c r="AA1" s="757"/>
    </row>
    <row r="2" spans="1:27" ht="15.75" thickBot="1">
      <c r="A2" s="642"/>
      <c r="B2" s="640"/>
      <c r="C2" s="755" t="s">
        <v>47</v>
      </c>
      <c r="D2" s="756"/>
      <c r="E2" s="757"/>
      <c r="F2" s="755" t="s">
        <v>749</v>
      </c>
      <c r="G2" s="756"/>
      <c r="H2" s="756"/>
      <c r="I2" s="757"/>
      <c r="J2" s="772" t="s">
        <v>48</v>
      </c>
      <c r="K2" s="773"/>
      <c r="L2" s="774"/>
      <c r="M2" s="775" t="s">
        <v>49</v>
      </c>
      <c r="N2" s="773"/>
      <c r="O2" s="774"/>
      <c r="P2" s="775" t="s">
        <v>50</v>
      </c>
      <c r="Q2" s="773"/>
      <c r="R2" s="774"/>
      <c r="S2" s="775" t="s">
        <v>148</v>
      </c>
      <c r="T2" s="773"/>
      <c r="U2" s="776"/>
      <c r="V2" s="756" t="s">
        <v>17</v>
      </c>
      <c r="W2" s="756"/>
      <c r="X2" s="757"/>
      <c r="Y2" s="756" t="s">
        <v>18</v>
      </c>
      <c r="Z2" s="756"/>
      <c r="AA2" s="757"/>
    </row>
    <row r="3" spans="1:27" ht="18.600000000000001" customHeight="1" thickBot="1">
      <c r="A3" s="650" t="s">
        <v>23</v>
      </c>
      <c r="B3" s="70" t="s">
        <v>100</v>
      </c>
      <c r="C3" s="22" t="s">
        <v>173</v>
      </c>
      <c r="D3" s="19" t="s">
        <v>126</v>
      </c>
      <c r="E3" s="23" t="s">
        <v>24</v>
      </c>
      <c r="F3" s="22" t="s">
        <v>66</v>
      </c>
      <c r="G3" s="19" t="s">
        <v>67</v>
      </c>
      <c r="H3" s="19" t="s">
        <v>750</v>
      </c>
      <c r="I3" s="19" t="s">
        <v>106</v>
      </c>
      <c r="J3" s="14" t="s">
        <v>173</v>
      </c>
      <c r="K3" s="15" t="s">
        <v>126</v>
      </c>
      <c r="L3" s="21" t="s">
        <v>24</v>
      </c>
      <c r="M3" s="20" t="s">
        <v>173</v>
      </c>
      <c r="N3" s="15" t="s">
        <v>126</v>
      </c>
      <c r="O3" s="21" t="s">
        <v>24</v>
      </c>
      <c r="P3" s="20" t="s">
        <v>173</v>
      </c>
      <c r="Q3" s="15" t="s">
        <v>126</v>
      </c>
      <c r="R3" s="21" t="s">
        <v>24</v>
      </c>
      <c r="S3" s="20" t="s">
        <v>173</v>
      </c>
      <c r="T3" s="15" t="s">
        <v>126</v>
      </c>
      <c r="U3" s="16" t="s">
        <v>24</v>
      </c>
      <c r="V3" s="15" t="s">
        <v>173</v>
      </c>
      <c r="W3" s="15" t="s">
        <v>126</v>
      </c>
      <c r="X3" s="16" t="s">
        <v>24</v>
      </c>
      <c r="Y3" s="15" t="s">
        <v>173</v>
      </c>
      <c r="Z3" s="15" t="s">
        <v>126</v>
      </c>
      <c r="AA3" s="16" t="s">
        <v>24</v>
      </c>
    </row>
    <row r="4" spans="1:27">
      <c r="A4" s="31" t="s">
        <v>25</v>
      </c>
      <c r="B4" s="63">
        <v>1</v>
      </c>
      <c r="C4" s="26">
        <f>'Parametre - Agendové IS'!D116</f>
        <v>0</v>
      </c>
      <c r="D4" s="26">
        <f>'Parametre - Agendové IS'!E116</f>
        <v>0</v>
      </c>
      <c r="E4" s="28">
        <f>IF(ISERR(D4-C4),"-",D4-C4)</f>
        <v>0</v>
      </c>
      <c r="F4" s="26">
        <f>IF(B4&lt;=MIN(MODULY_CBA!$N$3:$N$23),0,TCO!D26+TCO!D27)</f>
        <v>0</v>
      </c>
      <c r="G4" s="26">
        <f>IF(B4&lt;=MIN(MODULY_CBA!$N$3:$N$23),0,TCO!D22+TCO!D23)</f>
        <v>0</v>
      </c>
      <c r="H4" s="641">
        <f>IF(B4&lt;=MIN(MODULY_CBA!$N$3:$N$23),0,'Parametre - Agendové IS'!D106)</f>
        <v>0</v>
      </c>
      <c r="I4" s="28">
        <f>IF(B4&lt;=MIN(MODULY_CBA!$N$3:$N$23),0,TCO!D24+TCO!D25)</f>
        <v>0</v>
      </c>
      <c r="J4" s="238"/>
      <c r="K4" s="239"/>
      <c r="L4" s="32">
        <f t="shared" ref="L4:L13" si="0">IF(ISERR(K4-J4),"-",K4-J4)</f>
        <v>0</v>
      </c>
      <c r="M4" s="29">
        <v>0</v>
      </c>
      <c r="N4" s="25">
        <f>'Parametre - Agendové IS'!E96</f>
        <v>0</v>
      </c>
      <c r="O4" s="32">
        <f>IF(ISERR(N4-M4),"-",N4-M4)</f>
        <v>0</v>
      </c>
      <c r="P4" s="26">
        <f>'Parametre - Agendové IS'!D126</f>
        <v>0</v>
      </c>
      <c r="Q4" s="26">
        <f>'Parametre - Agendové IS'!E126</f>
        <v>0</v>
      </c>
      <c r="R4" s="28">
        <f>IF(ISERR(Q4-P4),"-",Q4-P4)</f>
        <v>0</v>
      </c>
      <c r="S4" s="25">
        <f>-'Parametre - Agendové IS'!D76</f>
        <v>0</v>
      </c>
      <c r="T4" s="25">
        <f>-'Parametre - Agendové IS'!E76</f>
        <v>0</v>
      </c>
      <c r="U4" s="32">
        <f t="shared" ref="U4:U13" si="1">IF(ISERR(T4-S4),"-",T4-S4)</f>
        <v>0</v>
      </c>
      <c r="V4" s="26">
        <f t="shared" ref="V4:V13" si="2">SUM(C4,J4)</f>
        <v>0</v>
      </c>
      <c r="W4" s="25">
        <f t="shared" ref="W4:W13" si="3">SUM(D4,K4)</f>
        <v>0</v>
      </c>
      <c r="X4" s="28">
        <f>W4-V4</f>
        <v>0</v>
      </c>
      <c r="Y4" s="26">
        <f>SUM(M4,P4,S4)</f>
        <v>0</v>
      </c>
      <c r="Z4" s="25">
        <f>SUM(N4,Q4,T4)</f>
        <v>0</v>
      </c>
      <c r="AA4" s="28">
        <f>Z4-Y4</f>
        <v>0</v>
      </c>
    </row>
    <row r="5" spans="1:27">
      <c r="A5" s="31" t="s">
        <v>26</v>
      </c>
      <c r="B5" s="64">
        <v>2</v>
      </c>
      <c r="C5" s="26">
        <f>'Parametre - Agendové IS'!D117</f>
        <v>0</v>
      </c>
      <c r="D5" s="26">
        <f>'Parametre - Agendové IS'!E117</f>
        <v>0</v>
      </c>
      <c r="E5" s="28">
        <f t="shared" ref="E5:E13" si="4">IF(ISERR(D5-C5),"-",D5-C5)</f>
        <v>0</v>
      </c>
      <c r="F5" s="26">
        <f>IF(B5&lt;=MIN(MODULY_CBA!$N$3:$N$23),0,TCO!E26+TCO!E27)</f>
        <v>0</v>
      </c>
      <c r="G5" s="26">
        <f>IF(B5&lt;=MIN(MODULY_CBA!$N$3:$N$23),0,TCO!E22+TCO!E23)</f>
        <v>0</v>
      </c>
      <c r="H5" s="641">
        <f>IF(B5&lt;=MIN(MODULY_CBA!$N$3:$N$23),0,'Parametre - Agendové IS'!D107)</f>
        <v>0</v>
      </c>
      <c r="I5" s="28">
        <f>IF(B5&lt;=MIN(MODULY_CBA!$N$3:$N$23),0,TCO!E24+TCO!E25)</f>
        <v>0</v>
      </c>
      <c r="J5" s="238"/>
      <c r="K5" s="239"/>
      <c r="L5" s="28">
        <f t="shared" si="0"/>
        <v>0</v>
      </c>
      <c r="M5" s="29">
        <v>0</v>
      </c>
      <c r="N5" s="25">
        <f>'Parametre - Agendové IS'!E97</f>
        <v>0</v>
      </c>
      <c r="O5" s="115">
        <f>IF(ISERR(N5-M5),"-",N5-M5)</f>
        <v>0</v>
      </c>
      <c r="P5" s="26">
        <f>'Parametre - Agendové IS'!D127</f>
        <v>0</v>
      </c>
      <c r="Q5" s="26">
        <f>'Parametre - Agendové IS'!E127</f>
        <v>0</v>
      </c>
      <c r="R5" s="28">
        <f t="shared" ref="R5:R13" si="5">IF(ISERR(Q5-P5),"-",Q5-P5)</f>
        <v>0</v>
      </c>
      <c r="S5" s="25">
        <f>-'Parametre - Agendové IS'!D77</f>
        <v>0</v>
      </c>
      <c r="T5" s="25">
        <f>-'Parametre - Agendové IS'!E77</f>
        <v>0</v>
      </c>
      <c r="U5" s="28">
        <f t="shared" si="1"/>
        <v>0</v>
      </c>
      <c r="V5" s="26">
        <f t="shared" si="2"/>
        <v>0</v>
      </c>
      <c r="W5" s="25">
        <f t="shared" si="3"/>
        <v>0</v>
      </c>
      <c r="X5" s="28">
        <f t="shared" ref="X5:X12" si="6">W5-V5</f>
        <v>0</v>
      </c>
      <c r="Y5" s="26">
        <f t="shared" ref="Y5:Z13" si="7">SUM(M5,P5,S5)</f>
        <v>0</v>
      </c>
      <c r="Z5" s="25">
        <f t="shared" si="7"/>
        <v>0</v>
      </c>
      <c r="AA5" s="28">
        <f t="shared" ref="AA5:AA13" si="8">Z5-Y5</f>
        <v>0</v>
      </c>
    </row>
    <row r="6" spans="1:27">
      <c r="A6" s="31" t="s">
        <v>27</v>
      </c>
      <c r="B6" s="64">
        <v>3</v>
      </c>
      <c r="C6" s="26">
        <f>'Parametre - Agendové IS'!D118</f>
        <v>0</v>
      </c>
      <c r="D6" s="26">
        <f>'Parametre - Agendové IS'!E118</f>
        <v>0</v>
      </c>
      <c r="E6" s="28">
        <f t="shared" si="4"/>
        <v>0</v>
      </c>
      <c r="F6" s="26">
        <f>IF(B6&lt;=MIN(MODULY_CBA!$N$3:$N$23),0,TCO!F26+TCO!F27)</f>
        <v>0</v>
      </c>
      <c r="G6" s="26">
        <f>IF(B6&lt;=MIN(MODULY_CBA!$N$3:$N$23),0,TCO!F22+TCO!F23)</f>
        <v>0</v>
      </c>
      <c r="H6" s="641">
        <f>IF(B6&lt;=MIN(MODULY_CBA!$N$3:$N$23),0,'Parametre - Agendové IS'!D108)</f>
        <v>0</v>
      </c>
      <c r="I6" s="28">
        <f>IF(B6&lt;=MIN(MODULY_CBA!$N$3:$N$23),0,TCO!F24+TCO!F25)</f>
        <v>0</v>
      </c>
      <c r="J6" s="238"/>
      <c r="K6" s="239"/>
      <c r="L6" s="28">
        <f t="shared" si="0"/>
        <v>0</v>
      </c>
      <c r="M6" s="29">
        <v>0</v>
      </c>
      <c r="N6" s="25">
        <f>'Parametre - Agendové IS'!E98</f>
        <v>7241535</v>
      </c>
      <c r="O6" s="28">
        <f t="shared" ref="O6:O13" si="9">IF(ISERR(N6-M6),"-",N6-M6)</f>
        <v>7241535</v>
      </c>
      <c r="P6" s="26">
        <f>'Parametre - Agendové IS'!D128</f>
        <v>0</v>
      </c>
      <c r="Q6" s="26">
        <f>'Parametre - Agendové IS'!E128</f>
        <v>0</v>
      </c>
      <c r="R6" s="28">
        <f t="shared" si="5"/>
        <v>0</v>
      </c>
      <c r="S6" s="25">
        <f>-'Parametre - Agendové IS'!D78</f>
        <v>0</v>
      </c>
      <c r="T6" s="25">
        <f>-'Parametre - Agendové IS'!E78</f>
        <v>-364978.07633587776</v>
      </c>
      <c r="U6" s="28">
        <f t="shared" si="1"/>
        <v>-364978.07633587776</v>
      </c>
      <c r="V6" s="26">
        <f t="shared" si="2"/>
        <v>0</v>
      </c>
      <c r="W6" s="25">
        <f t="shared" si="3"/>
        <v>0</v>
      </c>
      <c r="X6" s="28">
        <f t="shared" si="6"/>
        <v>0</v>
      </c>
      <c r="Y6" s="26">
        <f t="shared" si="7"/>
        <v>0</v>
      </c>
      <c r="Z6" s="25">
        <f t="shared" si="7"/>
        <v>6876556.9236641219</v>
      </c>
      <c r="AA6" s="28">
        <f t="shared" si="8"/>
        <v>6876556.9236641219</v>
      </c>
    </row>
    <row r="7" spans="1:27">
      <c r="A7" s="31" t="s">
        <v>28</v>
      </c>
      <c r="B7" s="64">
        <v>4</v>
      </c>
      <c r="C7" s="26">
        <f>'Parametre - Agendové IS'!D119</f>
        <v>0</v>
      </c>
      <c r="D7" s="26">
        <f>'Parametre - Agendové IS'!E119</f>
        <v>0</v>
      </c>
      <c r="E7" s="28">
        <f t="shared" si="4"/>
        <v>0</v>
      </c>
      <c r="F7" s="26">
        <f>IF(B7&lt;=MIN(MODULY_CBA!$N$3:$N$23),0,TCO!G26+TCO!G27)</f>
        <v>0</v>
      </c>
      <c r="G7" s="26">
        <f>IF(B7&lt;=MIN(MODULY_CBA!$N$3:$N$23),0,TCO!G22+TCO!G23)</f>
        <v>0</v>
      </c>
      <c r="H7" s="641">
        <f>IF(B7&lt;=MIN(MODULY_CBA!$N$3:$N$23),0,'Parametre - Agendové IS'!D109)</f>
        <v>0</v>
      </c>
      <c r="I7" s="28">
        <f>IF(B7&lt;=MIN(MODULY_CBA!$N$3:$N$23),0,TCO!G24+TCO!G25)</f>
        <v>0</v>
      </c>
      <c r="J7" s="238"/>
      <c r="K7" s="239"/>
      <c r="L7" s="28">
        <f t="shared" si="0"/>
        <v>0</v>
      </c>
      <c r="M7" s="29">
        <v>0</v>
      </c>
      <c r="N7" s="25">
        <f>'Parametre - Agendové IS'!E99</f>
        <v>7241535</v>
      </c>
      <c r="O7" s="28">
        <f t="shared" si="9"/>
        <v>7241535</v>
      </c>
      <c r="P7" s="26">
        <f>'Parametre - Agendové IS'!D129</f>
        <v>0</v>
      </c>
      <c r="Q7" s="26">
        <f>'Parametre - Agendové IS'!E129</f>
        <v>0</v>
      </c>
      <c r="R7" s="28">
        <f t="shared" si="5"/>
        <v>0</v>
      </c>
      <c r="S7" s="25">
        <f>-'Parametre - Agendové IS'!D79</f>
        <v>0</v>
      </c>
      <c r="T7" s="25">
        <f>-'Parametre - Agendové IS'!E79</f>
        <v>-364978.07633587776</v>
      </c>
      <c r="U7" s="28">
        <f t="shared" si="1"/>
        <v>-364978.07633587776</v>
      </c>
      <c r="V7" s="26">
        <f t="shared" si="2"/>
        <v>0</v>
      </c>
      <c r="W7" s="25">
        <f t="shared" si="3"/>
        <v>0</v>
      </c>
      <c r="X7" s="28">
        <f t="shared" si="6"/>
        <v>0</v>
      </c>
      <c r="Y7" s="26">
        <f t="shared" si="7"/>
        <v>0</v>
      </c>
      <c r="Z7" s="25">
        <f t="shared" si="7"/>
        <v>6876556.9236641219</v>
      </c>
      <c r="AA7" s="28">
        <f t="shared" si="8"/>
        <v>6876556.9236641219</v>
      </c>
    </row>
    <row r="8" spans="1:27">
      <c r="A8" s="31" t="s">
        <v>29</v>
      </c>
      <c r="B8" s="64">
        <v>5</v>
      </c>
      <c r="C8" s="26">
        <f>'Parametre - Agendové IS'!D120</f>
        <v>0</v>
      </c>
      <c r="D8" s="26">
        <f>'Parametre - Agendové IS'!E120</f>
        <v>0</v>
      </c>
      <c r="E8" s="28">
        <f t="shared" si="4"/>
        <v>0</v>
      </c>
      <c r="F8" s="26">
        <f>IF(B8&lt;=MIN(MODULY_CBA!$N$3:$N$23),0,TCO!H26+TCO!H27)</f>
        <v>0</v>
      </c>
      <c r="G8" s="26">
        <f>IF(B8&lt;=MIN(MODULY_CBA!$N$3:$N$23),0,TCO!H22+TCO!H23)</f>
        <v>0</v>
      </c>
      <c r="H8" s="641">
        <f>IF(B8&lt;=MIN(MODULY_CBA!$N$3:$N$23),0,'Parametre - Agendové IS'!D110)</f>
        <v>0</v>
      </c>
      <c r="I8" s="28">
        <f>IF(B8&lt;=MIN(MODULY_CBA!$N$3:$N$23),0,TCO!H24+TCO!H25)</f>
        <v>0</v>
      </c>
      <c r="J8" s="238"/>
      <c r="K8" s="239"/>
      <c r="L8" s="28">
        <f t="shared" si="0"/>
        <v>0</v>
      </c>
      <c r="M8" s="29">
        <v>0</v>
      </c>
      <c r="N8" s="25">
        <f>'Parametre - Agendové IS'!E100</f>
        <v>7241535</v>
      </c>
      <c r="O8" s="28">
        <f t="shared" si="9"/>
        <v>7241535</v>
      </c>
      <c r="P8" s="26">
        <f>'Parametre - Agendové IS'!D130</f>
        <v>0</v>
      </c>
      <c r="Q8" s="26">
        <f>'Parametre - Agendové IS'!E130</f>
        <v>0</v>
      </c>
      <c r="R8" s="28">
        <f t="shared" si="5"/>
        <v>0</v>
      </c>
      <c r="S8" s="25">
        <f>-'Parametre - Agendové IS'!D80</f>
        <v>0</v>
      </c>
      <c r="T8" s="25">
        <f>-'Parametre - Agendové IS'!E80</f>
        <v>-364978.07633587776</v>
      </c>
      <c r="U8" s="28">
        <f t="shared" si="1"/>
        <v>-364978.07633587776</v>
      </c>
      <c r="V8" s="26">
        <f t="shared" si="2"/>
        <v>0</v>
      </c>
      <c r="W8" s="25">
        <f t="shared" si="3"/>
        <v>0</v>
      </c>
      <c r="X8" s="28">
        <f t="shared" si="6"/>
        <v>0</v>
      </c>
      <c r="Y8" s="26">
        <f t="shared" si="7"/>
        <v>0</v>
      </c>
      <c r="Z8" s="25">
        <f t="shared" si="7"/>
        <v>6876556.9236641219</v>
      </c>
      <c r="AA8" s="28">
        <f t="shared" si="8"/>
        <v>6876556.9236641219</v>
      </c>
    </row>
    <row r="9" spans="1:27">
      <c r="A9" s="31" t="s">
        <v>30</v>
      </c>
      <c r="B9" s="64">
        <v>6</v>
      </c>
      <c r="C9" s="26">
        <f>'Parametre - Agendové IS'!D121</f>
        <v>0</v>
      </c>
      <c r="D9" s="26">
        <f>'Parametre - Agendové IS'!E121</f>
        <v>0</v>
      </c>
      <c r="E9" s="28">
        <f t="shared" si="4"/>
        <v>0</v>
      </c>
      <c r="F9" s="26">
        <f>IF(B9&lt;=MIN(MODULY_CBA!$N$3:$N$23),0,TCO!I26+TCO!I27)</f>
        <v>0</v>
      </c>
      <c r="G9" s="26">
        <f>IF(B9&lt;=MIN(MODULY_CBA!$N$3:$N$23),0,TCO!I22+TCO!I23)</f>
        <v>0</v>
      </c>
      <c r="H9" s="641">
        <f>IF(B9&lt;=MIN(MODULY_CBA!$N$3:$N$23),0,'Parametre - Agendové IS'!D111)</f>
        <v>0</v>
      </c>
      <c r="I9" s="28">
        <f>IF(B9&lt;=MIN(MODULY_CBA!$N$3:$N$23),0,TCO!I24+TCO!I25)</f>
        <v>0</v>
      </c>
      <c r="J9" s="238"/>
      <c r="K9" s="239"/>
      <c r="L9" s="28">
        <f t="shared" si="0"/>
        <v>0</v>
      </c>
      <c r="M9" s="29">
        <v>0</v>
      </c>
      <c r="N9" s="25">
        <f>'Parametre - Agendové IS'!E101</f>
        <v>7241535</v>
      </c>
      <c r="O9" s="28">
        <f t="shared" si="9"/>
        <v>7241535</v>
      </c>
      <c r="P9" s="26">
        <f>'Parametre - Agendové IS'!D131</f>
        <v>0</v>
      </c>
      <c r="Q9" s="26">
        <f>'Parametre - Agendové IS'!E131</f>
        <v>0</v>
      </c>
      <c r="R9" s="28">
        <f t="shared" si="5"/>
        <v>0</v>
      </c>
      <c r="S9" s="25">
        <f>-'Parametre - Agendové IS'!D81</f>
        <v>0</v>
      </c>
      <c r="T9" s="25">
        <f>-'Parametre - Agendové IS'!E81</f>
        <v>-364978.07633587776</v>
      </c>
      <c r="U9" s="28">
        <f t="shared" si="1"/>
        <v>-364978.07633587776</v>
      </c>
      <c r="V9" s="26">
        <f t="shared" si="2"/>
        <v>0</v>
      </c>
      <c r="W9" s="25">
        <f t="shared" si="3"/>
        <v>0</v>
      </c>
      <c r="X9" s="28">
        <f t="shared" si="6"/>
        <v>0</v>
      </c>
      <c r="Y9" s="26">
        <f t="shared" si="7"/>
        <v>0</v>
      </c>
      <c r="Z9" s="25">
        <f t="shared" si="7"/>
        <v>6876556.9236641219</v>
      </c>
      <c r="AA9" s="28">
        <f t="shared" si="8"/>
        <v>6876556.9236641219</v>
      </c>
    </row>
    <row r="10" spans="1:27">
      <c r="A10" s="31" t="s">
        <v>31</v>
      </c>
      <c r="B10" s="64">
        <v>7</v>
      </c>
      <c r="C10" s="26">
        <f>'Parametre - Agendové IS'!D122</f>
        <v>0</v>
      </c>
      <c r="D10" s="26">
        <f>'Parametre - Agendové IS'!E122</f>
        <v>0</v>
      </c>
      <c r="E10" s="28">
        <f t="shared" si="4"/>
        <v>0</v>
      </c>
      <c r="F10" s="26">
        <f>IF(B10&lt;=MIN(MODULY_CBA!$N$3:$N$23),0,TCO!J26+TCO!J27)</f>
        <v>0</v>
      </c>
      <c r="G10" s="26">
        <f>IF(B10&lt;=MIN(MODULY_CBA!$N$3:$N$23),0,TCO!J22+TCO!J23)</f>
        <v>0</v>
      </c>
      <c r="H10" s="641">
        <f>IF(B10&lt;=MIN(MODULY_CBA!$N$3:$N$23),0,'Parametre - Agendové IS'!D112)</f>
        <v>0</v>
      </c>
      <c r="I10" s="28">
        <f>IF(B10&lt;=MIN(MODULY_CBA!$N$3:$N$23),0,TCO!J24+TCO!J25)</f>
        <v>0</v>
      </c>
      <c r="J10" s="238"/>
      <c r="K10" s="239"/>
      <c r="L10" s="28">
        <f t="shared" si="0"/>
        <v>0</v>
      </c>
      <c r="M10" s="29">
        <v>0</v>
      </c>
      <c r="N10" s="25">
        <f>'Parametre - Agendové IS'!E102</f>
        <v>7241535</v>
      </c>
      <c r="O10" s="28">
        <f t="shared" si="9"/>
        <v>7241535</v>
      </c>
      <c r="P10" s="26">
        <f>'Parametre - Agendové IS'!D132</f>
        <v>0</v>
      </c>
      <c r="Q10" s="26">
        <f>'Parametre - Agendové IS'!E132</f>
        <v>0</v>
      </c>
      <c r="R10" s="28">
        <f t="shared" si="5"/>
        <v>0</v>
      </c>
      <c r="S10" s="25">
        <f>-'Parametre - Agendové IS'!D82</f>
        <v>0</v>
      </c>
      <c r="T10" s="25">
        <f>-'Parametre - Agendové IS'!E82</f>
        <v>-364978.07633587776</v>
      </c>
      <c r="U10" s="28">
        <f t="shared" si="1"/>
        <v>-364978.07633587776</v>
      </c>
      <c r="V10" s="26">
        <f t="shared" si="2"/>
        <v>0</v>
      </c>
      <c r="W10" s="25">
        <f t="shared" si="3"/>
        <v>0</v>
      </c>
      <c r="X10" s="28">
        <f t="shared" si="6"/>
        <v>0</v>
      </c>
      <c r="Y10" s="26">
        <f t="shared" si="7"/>
        <v>0</v>
      </c>
      <c r="Z10" s="25">
        <f t="shared" si="7"/>
        <v>6876556.9236641219</v>
      </c>
      <c r="AA10" s="28">
        <f t="shared" si="8"/>
        <v>6876556.9236641219</v>
      </c>
    </row>
    <row r="11" spans="1:27">
      <c r="A11" s="31" t="s">
        <v>32</v>
      </c>
      <c r="B11" s="64">
        <v>8</v>
      </c>
      <c r="C11" s="26">
        <f>'Parametre - Agendové IS'!D123</f>
        <v>0</v>
      </c>
      <c r="D11" s="26">
        <f>'Parametre - Agendové IS'!E123</f>
        <v>0</v>
      </c>
      <c r="E11" s="28">
        <f t="shared" si="4"/>
        <v>0</v>
      </c>
      <c r="F11" s="26">
        <f>IF(B11&lt;=MIN(MODULY_CBA!$N$3:$N$23),0,TCO!K26+TCO!K27)</f>
        <v>0</v>
      </c>
      <c r="G11" s="26">
        <f>IF(B11&lt;=MIN(MODULY_CBA!$N$3:$N$23),0,TCO!K22+TCO!K23)</f>
        <v>0</v>
      </c>
      <c r="H11" s="641">
        <f>IF(B11&lt;=MIN(MODULY_CBA!$N$3:$N$23),0,'Parametre - Agendové IS'!D113)</f>
        <v>0</v>
      </c>
      <c r="I11" s="28">
        <f>IF(B11&lt;=MIN(MODULY_CBA!$N$3:$N$23),0,TCO!K24+TCO!K25)</f>
        <v>0</v>
      </c>
      <c r="J11" s="238"/>
      <c r="K11" s="239"/>
      <c r="L11" s="28">
        <f t="shared" si="0"/>
        <v>0</v>
      </c>
      <c r="M11" s="29">
        <v>0</v>
      </c>
      <c r="N11" s="25">
        <f>'Parametre - Agendové IS'!E103</f>
        <v>7241535</v>
      </c>
      <c r="O11" s="28">
        <f t="shared" si="9"/>
        <v>7241535</v>
      </c>
      <c r="P11" s="26">
        <f>'Parametre - Agendové IS'!D133</f>
        <v>0</v>
      </c>
      <c r="Q11" s="26">
        <f>'Parametre - Agendové IS'!E133</f>
        <v>0</v>
      </c>
      <c r="R11" s="28">
        <f t="shared" si="5"/>
        <v>0</v>
      </c>
      <c r="S11" s="25">
        <f>-'Parametre - Agendové IS'!D83</f>
        <v>0</v>
      </c>
      <c r="T11" s="25">
        <f>-'Parametre - Agendové IS'!E83</f>
        <v>-364978.07633587776</v>
      </c>
      <c r="U11" s="28">
        <f t="shared" si="1"/>
        <v>-364978.07633587776</v>
      </c>
      <c r="V11" s="26">
        <f t="shared" si="2"/>
        <v>0</v>
      </c>
      <c r="W11" s="25">
        <f t="shared" si="3"/>
        <v>0</v>
      </c>
      <c r="X11" s="28">
        <f t="shared" si="6"/>
        <v>0</v>
      </c>
      <c r="Y11" s="26">
        <f t="shared" si="7"/>
        <v>0</v>
      </c>
      <c r="Z11" s="25">
        <f t="shared" si="7"/>
        <v>6876556.9236641219</v>
      </c>
      <c r="AA11" s="28">
        <f t="shared" si="8"/>
        <v>6876556.9236641219</v>
      </c>
    </row>
    <row r="12" spans="1:27">
      <c r="A12" s="31" t="s">
        <v>33</v>
      </c>
      <c r="B12" s="64">
        <v>9</v>
      </c>
      <c r="C12" s="26">
        <f>'Parametre - Agendové IS'!D124</f>
        <v>0</v>
      </c>
      <c r="D12" s="26">
        <f>'Parametre - Agendové IS'!E124</f>
        <v>0</v>
      </c>
      <c r="E12" s="28">
        <f t="shared" si="4"/>
        <v>0</v>
      </c>
      <c r="F12" s="26">
        <f>IF(B12&lt;=MIN(MODULY_CBA!$N$3:$N$23),0,TCO!L26+TCO!L27)</f>
        <v>0</v>
      </c>
      <c r="G12" s="26">
        <f>IF(B12&lt;=MIN(MODULY_CBA!$N$3:$N$23),0,TCO!L22+TCO!L23)</f>
        <v>0</v>
      </c>
      <c r="H12" s="641">
        <f>IF(B12&lt;=MIN(MODULY_CBA!$N$3:$N$23),0,'Parametre - Agendové IS'!D114)</f>
        <v>0</v>
      </c>
      <c r="I12" s="28">
        <f>IF(B12&lt;=MIN(MODULY_CBA!$N$3:$N$23),0,TCO!L24+TCO!L25)</f>
        <v>0</v>
      </c>
      <c r="J12" s="238"/>
      <c r="K12" s="239"/>
      <c r="L12" s="28">
        <f t="shared" si="0"/>
        <v>0</v>
      </c>
      <c r="M12" s="29">
        <v>0</v>
      </c>
      <c r="N12" s="25">
        <f>'Parametre - Agendové IS'!E104</f>
        <v>7241535</v>
      </c>
      <c r="O12" s="28">
        <f t="shared" si="9"/>
        <v>7241535</v>
      </c>
      <c r="P12" s="26">
        <f>'Parametre - Agendové IS'!D134</f>
        <v>0</v>
      </c>
      <c r="Q12" s="26">
        <f>'Parametre - Agendové IS'!E134</f>
        <v>0</v>
      </c>
      <c r="R12" s="28">
        <f t="shared" si="5"/>
        <v>0</v>
      </c>
      <c r="S12" s="25">
        <f>-'Parametre - Agendové IS'!D84</f>
        <v>0</v>
      </c>
      <c r="T12" s="25">
        <f>-'Parametre - Agendové IS'!E84</f>
        <v>-364978.07633587776</v>
      </c>
      <c r="U12" s="28">
        <f t="shared" si="1"/>
        <v>-364978.07633587776</v>
      </c>
      <c r="V12" s="26">
        <f t="shared" si="2"/>
        <v>0</v>
      </c>
      <c r="W12" s="25">
        <f t="shared" si="3"/>
        <v>0</v>
      </c>
      <c r="X12" s="28">
        <f t="shared" si="6"/>
        <v>0</v>
      </c>
      <c r="Y12" s="26">
        <f t="shared" si="7"/>
        <v>0</v>
      </c>
      <c r="Z12" s="25">
        <f t="shared" si="7"/>
        <v>6876556.9236641219</v>
      </c>
      <c r="AA12" s="28">
        <f t="shared" si="8"/>
        <v>6876556.9236641219</v>
      </c>
    </row>
    <row r="13" spans="1:27" ht="15.6" customHeight="1" thickBot="1">
      <c r="A13" s="31" t="s">
        <v>34</v>
      </c>
      <c r="B13" s="65">
        <v>10</v>
      </c>
      <c r="C13" s="43">
        <f>'Parametre - Agendové IS'!D125</f>
        <v>0</v>
      </c>
      <c r="D13" s="43">
        <f>'Parametre - Agendové IS'!E125</f>
        <v>0</v>
      </c>
      <c r="E13" s="124">
        <f t="shared" si="4"/>
        <v>0</v>
      </c>
      <c r="F13" s="26">
        <f>IF(B13&lt;=MIN(MODULY_CBA!$N$3:$N$23),0,TCO!M26+TCO!M27)</f>
        <v>0</v>
      </c>
      <c r="G13" s="26">
        <f>IF(B13&lt;=MIN(MODULY_CBA!$N$3:$N$23),0,TCO!M22+TCO!M23)</f>
        <v>0</v>
      </c>
      <c r="H13" s="641">
        <f>IF(B13&lt;=MIN(MODULY_CBA!$N$3:$N$23),0,'Parametre - Agendové IS'!D115)</f>
        <v>0</v>
      </c>
      <c r="I13" s="124">
        <f>IF(B13&lt;=MIN(MODULY_CBA!$N$3:$N$23),0,TCO!M24+TCO!M25)</f>
        <v>0</v>
      </c>
      <c r="J13" s="240"/>
      <c r="K13" s="241"/>
      <c r="L13" s="124">
        <f t="shared" si="0"/>
        <v>0</v>
      </c>
      <c r="M13" s="29">
        <v>0</v>
      </c>
      <c r="N13" s="39">
        <f>'Parametre - Agendové IS'!E105</f>
        <v>7241535</v>
      </c>
      <c r="O13" s="124">
        <f t="shared" si="9"/>
        <v>7241535</v>
      </c>
      <c r="P13" s="43">
        <f>'Parametre - Agendové IS'!D135</f>
        <v>0</v>
      </c>
      <c r="Q13" s="43">
        <f>'Parametre - Agendové IS'!E135</f>
        <v>0</v>
      </c>
      <c r="R13" s="124">
        <f t="shared" si="5"/>
        <v>0</v>
      </c>
      <c r="S13" s="39">
        <f>-'Parametre - Agendové IS'!D85</f>
        <v>0</v>
      </c>
      <c r="T13" s="39">
        <f>-'Parametre - Agendové IS'!E85</f>
        <v>-364978.07633587776</v>
      </c>
      <c r="U13" s="39">
        <f t="shared" si="1"/>
        <v>-364978.07633587776</v>
      </c>
      <c r="V13" s="127">
        <f t="shared" si="2"/>
        <v>0</v>
      </c>
      <c r="W13" s="39">
        <f t="shared" si="3"/>
        <v>0</v>
      </c>
      <c r="X13" s="124">
        <f>W13-V13</f>
        <v>0</v>
      </c>
      <c r="Y13" s="43">
        <f t="shared" si="7"/>
        <v>0</v>
      </c>
      <c r="Z13" s="39">
        <f t="shared" si="7"/>
        <v>6876556.9236641219</v>
      </c>
      <c r="AA13" s="124">
        <f t="shared" si="8"/>
        <v>6876556.9236641219</v>
      </c>
    </row>
    <row r="14" spans="1:27">
      <c r="A14" s="768" t="s">
        <v>104</v>
      </c>
      <c r="B14" s="769"/>
      <c r="C14" s="343">
        <f>SUM(C4:C13)</f>
        <v>0</v>
      </c>
      <c r="D14" s="343">
        <f t="shared" ref="D14:U14" si="10">SUM(D4:D13)</f>
        <v>0</v>
      </c>
      <c r="E14" s="344">
        <f t="shared" si="10"/>
        <v>0</v>
      </c>
      <c r="F14" s="343">
        <f>SUM(F4:F13)</f>
        <v>0</v>
      </c>
      <c r="G14" s="343">
        <f t="shared" ref="G14:I14" si="11">SUM(G4:G13)</f>
        <v>0</v>
      </c>
      <c r="H14" s="343">
        <f t="shared" si="11"/>
        <v>0</v>
      </c>
      <c r="I14" s="344">
        <f t="shared" si="11"/>
        <v>0</v>
      </c>
      <c r="J14" s="343">
        <f t="shared" si="10"/>
        <v>0</v>
      </c>
      <c r="K14" s="345">
        <f t="shared" si="10"/>
        <v>0</v>
      </c>
      <c r="L14" s="344">
        <f t="shared" si="10"/>
        <v>0</v>
      </c>
      <c r="M14" s="343">
        <f t="shared" si="10"/>
        <v>0</v>
      </c>
      <c r="N14" s="345">
        <f t="shared" si="10"/>
        <v>57932280</v>
      </c>
      <c r="O14" s="344">
        <f t="shared" si="10"/>
        <v>57932280</v>
      </c>
      <c r="P14" s="343">
        <f t="shared" si="10"/>
        <v>0</v>
      </c>
      <c r="Q14" s="343">
        <f t="shared" si="10"/>
        <v>0</v>
      </c>
      <c r="R14" s="344">
        <f t="shared" si="10"/>
        <v>0</v>
      </c>
      <c r="S14" s="345">
        <f t="shared" si="10"/>
        <v>0</v>
      </c>
      <c r="T14" s="345">
        <f t="shared" si="10"/>
        <v>-2919824.6106870216</v>
      </c>
      <c r="U14" s="346">
        <f t="shared" si="10"/>
        <v>-2919824.6106870216</v>
      </c>
      <c r="V14" s="347">
        <f t="shared" ref="V14:AA14" si="12">SUM(V4:V13)</f>
        <v>0</v>
      </c>
      <c r="W14" s="345">
        <f t="shared" si="12"/>
        <v>0</v>
      </c>
      <c r="X14" s="348">
        <f t="shared" si="12"/>
        <v>0</v>
      </c>
      <c r="Y14" s="347">
        <f t="shared" si="12"/>
        <v>0</v>
      </c>
      <c r="Z14" s="345">
        <f t="shared" si="12"/>
        <v>55012455.389312975</v>
      </c>
      <c r="AA14" s="349">
        <f t="shared" si="12"/>
        <v>55012455.389312975</v>
      </c>
    </row>
    <row r="15" spans="1:27" ht="15.75" thickBot="1">
      <c r="A15" s="770" t="s">
        <v>120</v>
      </c>
      <c r="B15" s="771"/>
      <c r="C15" s="350"/>
      <c r="D15" s="350"/>
      <c r="E15" s="351">
        <f>E4+NPV(Faktory!$D$5,'Prínosy - Agendové IS'!E5:E13)</f>
        <v>0</v>
      </c>
      <c r="F15" s="647">
        <f>F4+NPV(Faktory!$D$5,'Prínosy - Agendové IS'!F5:F13)</f>
        <v>0</v>
      </c>
      <c r="G15" s="648">
        <f>G4+NPV(Faktory!$D$5,'Prínosy - Agendové IS'!G5:G13)</f>
        <v>0</v>
      </c>
      <c r="H15" s="648">
        <f>H4+NPV(Faktory!$D$5,'Prínosy - Agendové IS'!H5:H13)</f>
        <v>0</v>
      </c>
      <c r="I15" s="649">
        <f>I4+NPV(Faktory!$D$5,'Prínosy - Agendové IS'!I5:I13)</f>
        <v>0</v>
      </c>
      <c r="J15" s="352"/>
      <c r="K15" s="353"/>
      <c r="L15" s="351">
        <f>L4+NPV(Faktory!$D$3,'Prínosy - Agendové IS'!L5:L13)</f>
        <v>0</v>
      </c>
      <c r="M15" s="352"/>
      <c r="N15" s="353"/>
      <c r="O15" s="351">
        <f>O4+NPV(Faktory!$D$5,'Prínosy - Agendové IS'!O5:O13)</f>
        <v>44574839.437935054</v>
      </c>
      <c r="P15" s="350"/>
      <c r="Q15" s="350"/>
      <c r="R15" s="351">
        <f>R4+NPV(Faktory!$D$5,'Prínosy - Agendové IS'!R5:R13)</f>
        <v>0</v>
      </c>
      <c r="S15" s="353"/>
      <c r="T15" s="353"/>
      <c r="U15" s="354">
        <f>U4+NPV(Faktory!$D$5,'Prínosy - Agendové IS'!U5:U13)</f>
        <v>-2246600.9141760902</v>
      </c>
      <c r="V15" s="355"/>
      <c r="W15" s="353"/>
      <c r="X15" s="351">
        <f>X4+NPV(Faktory!$D$5,'Prínosy - Agendové IS'!X5:X13)</f>
        <v>0</v>
      </c>
      <c r="Y15" s="355"/>
      <c r="Z15" s="353"/>
      <c r="AA15" s="351">
        <f>AA4+NPV(Faktory!$D$5,'Prínosy - Agendové IS'!AA5:AA13)</f>
        <v>42328238.523758955</v>
      </c>
    </row>
    <row r="16" spans="1:27" ht="15.75" thickBot="1">
      <c r="AA16" s="351">
        <f>(AA15+SUM(F15:I15))</f>
        <v>42328238.523758955</v>
      </c>
    </row>
    <row r="17" spans="3:3">
      <c r="C17" s="97" t="s">
        <v>129</v>
      </c>
    </row>
    <row r="38" spans="20:20">
      <c r="T38" s="126"/>
    </row>
  </sheetData>
  <protectedRanges>
    <protectedRange algorithmName="SHA-512" hashValue="f4ycvS5NMakRYlpexdvZE7kc5B00PVZgCpNS64jzUJaJceYSE+aleudxwPGxr22CZo/5IZ2uTHVQQMolnN60/A==" saltValue="c0KVc6r/LTYq/uhy9236YA==" spinCount="100000" sqref="J2:L15" name="Rozsah1"/>
  </protectedRanges>
  <mergeCells count="13">
    <mergeCell ref="A14:B14"/>
    <mergeCell ref="A15:B15"/>
    <mergeCell ref="V1:AA1"/>
    <mergeCell ref="C2:E2"/>
    <mergeCell ref="J2:L2"/>
    <mergeCell ref="M2:O2"/>
    <mergeCell ref="P2:R2"/>
    <mergeCell ref="V2:X2"/>
    <mergeCell ref="Y2:AA2"/>
    <mergeCell ref="S2:U2"/>
    <mergeCell ref="J1:U1"/>
    <mergeCell ref="C1:I1"/>
    <mergeCell ref="F2:I2"/>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tabColor theme="8" tint="0.39997558519241921"/>
  </sheetPr>
  <dimension ref="A1:BR135"/>
  <sheetViews>
    <sheetView tabSelected="1" zoomScaleNormal="100" workbookViewId="0">
      <pane xSplit="6" ySplit="4" topLeftCell="AN5" activePane="bottomRight" state="frozen"/>
      <selection pane="topRight" activeCell="G1" sqref="G1"/>
      <selection pane="bottomLeft" activeCell="A5" sqref="A5"/>
      <selection pane="bottomRight" activeCell="BG25" sqref="BG25"/>
    </sheetView>
  </sheetViews>
  <sheetFormatPr defaultColWidth="9.140625" defaultRowHeight="15"/>
  <cols>
    <col min="1" max="1" width="19.140625" style="7" customWidth="1"/>
    <col min="2" max="2" width="9.85546875" style="7" bestFit="1" customWidth="1"/>
    <col min="3" max="3" width="8.85546875" style="7" bestFit="1" customWidth="1"/>
    <col min="4" max="4" width="14.42578125" style="7" bestFit="1" customWidth="1"/>
    <col min="5" max="5" width="15.7109375" style="7" bestFit="1" customWidth="1"/>
    <col min="6" max="6" width="14.42578125" style="7" bestFit="1" customWidth="1"/>
    <col min="7" max="7" width="14.140625" style="7" customWidth="1"/>
    <col min="8" max="8" width="14.140625" style="317" customWidth="1"/>
    <col min="9" max="18" width="14.140625" style="7" customWidth="1"/>
    <col min="19" max="19" width="14.140625" style="318" customWidth="1"/>
    <col min="20" max="20" width="14.140625" style="317" customWidth="1"/>
    <col min="21" max="21" width="14.140625" style="7" customWidth="1"/>
    <col min="22" max="22" width="14.140625" style="318" customWidth="1"/>
    <col min="23" max="23" width="14.140625" style="317" customWidth="1"/>
    <col min="24" max="33" width="14.140625" style="7" customWidth="1"/>
    <col min="34" max="34" width="14.140625" style="318" customWidth="1"/>
    <col min="35" max="35" width="14.140625" style="317" customWidth="1"/>
    <col min="36" max="36" width="14.140625" style="7" customWidth="1"/>
    <col min="37" max="37" width="14.140625" style="318" customWidth="1"/>
    <col min="38" max="38" width="14.140625" style="317" customWidth="1"/>
    <col min="39" max="48" width="14.140625" style="7" customWidth="1"/>
    <col min="49" max="49" width="14.140625" style="318" customWidth="1"/>
    <col min="50" max="50" width="14.140625" style="317" customWidth="1"/>
    <col min="51" max="51" width="14.140625" style="7" customWidth="1"/>
    <col min="52" max="52" width="14.140625" style="318" customWidth="1"/>
    <col min="53" max="53" width="14.140625" style="317" customWidth="1"/>
    <col min="54" max="63" width="14.140625" style="7" customWidth="1"/>
    <col min="64" max="64" width="14.140625" style="318" customWidth="1"/>
    <col min="65" max="65" width="14.140625" style="317" customWidth="1"/>
    <col min="66" max="66" width="14.140625" style="7" customWidth="1"/>
    <col min="67" max="67" width="14.140625" style="318" customWidth="1"/>
    <col min="68" max="68" width="14.140625" style="317" customWidth="1"/>
    <col min="69" max="69" width="14.140625" style="7" customWidth="1"/>
    <col min="70" max="70" width="14.7109375" style="243" customWidth="1"/>
    <col min="71" max="73" width="9.140625" style="7"/>
    <col min="74" max="74" width="12.42578125" style="7" bestFit="1" customWidth="1"/>
    <col min="75" max="309" width="9.140625" style="7"/>
    <col min="310" max="310" width="1.7109375" style="7" customWidth="1"/>
    <col min="311" max="311" width="19.140625" style="7" customWidth="1"/>
    <col min="312" max="312" width="35.140625" style="7" customWidth="1"/>
    <col min="313" max="313" width="9.85546875" style="7" bestFit="1" customWidth="1"/>
    <col min="314" max="314" width="8.85546875" style="7" bestFit="1" customWidth="1"/>
    <col min="315" max="325" width="10.28515625" style="7" customWidth="1"/>
    <col min="326" max="565" width="9.140625" style="7"/>
    <col min="566" max="566" width="1.7109375" style="7" customWidth="1"/>
    <col min="567" max="567" width="19.140625" style="7" customWidth="1"/>
    <col min="568" max="568" width="35.140625" style="7" customWidth="1"/>
    <col min="569" max="569" width="9.85546875" style="7" bestFit="1" customWidth="1"/>
    <col min="570" max="570" width="8.85546875" style="7" bestFit="1" customWidth="1"/>
    <col min="571" max="581" width="10.28515625" style="7" customWidth="1"/>
    <col min="582" max="821" width="9.140625" style="7"/>
    <col min="822" max="822" width="1.7109375" style="7" customWidth="1"/>
    <col min="823" max="823" width="19.140625" style="7" customWidth="1"/>
    <col min="824" max="824" width="35.140625" style="7" customWidth="1"/>
    <col min="825" max="825" width="9.85546875" style="7" bestFit="1" customWidth="1"/>
    <col min="826" max="826" width="8.85546875" style="7" bestFit="1" customWidth="1"/>
    <col min="827" max="837" width="10.28515625" style="7" customWidth="1"/>
    <col min="838" max="1077" width="9.140625" style="7"/>
    <col min="1078" max="1078" width="1.7109375" style="7" customWidth="1"/>
    <col min="1079" max="1079" width="19.140625" style="7" customWidth="1"/>
    <col min="1080" max="1080" width="35.140625" style="7" customWidth="1"/>
    <col min="1081" max="1081" width="9.85546875" style="7" bestFit="1" customWidth="1"/>
    <col min="1082" max="1082" width="8.85546875" style="7" bestFit="1" customWidth="1"/>
    <col min="1083" max="1093" width="10.28515625" style="7" customWidth="1"/>
    <col min="1094" max="1333" width="9.140625" style="7"/>
    <col min="1334" max="1334" width="1.7109375" style="7" customWidth="1"/>
    <col min="1335" max="1335" width="19.140625" style="7" customWidth="1"/>
    <col min="1336" max="1336" width="35.140625" style="7" customWidth="1"/>
    <col min="1337" max="1337" width="9.85546875" style="7" bestFit="1" customWidth="1"/>
    <col min="1338" max="1338" width="8.85546875" style="7" bestFit="1" customWidth="1"/>
    <col min="1339" max="1349" width="10.28515625" style="7" customWidth="1"/>
    <col min="1350" max="1589" width="9.140625" style="7"/>
    <col min="1590" max="1590" width="1.7109375" style="7" customWidth="1"/>
    <col min="1591" max="1591" width="19.140625" style="7" customWidth="1"/>
    <col min="1592" max="1592" width="35.140625" style="7" customWidth="1"/>
    <col min="1593" max="1593" width="9.85546875" style="7" bestFit="1" customWidth="1"/>
    <col min="1594" max="1594" width="8.85546875" style="7" bestFit="1" customWidth="1"/>
    <col min="1595" max="1605" width="10.28515625" style="7" customWidth="1"/>
    <col min="1606" max="1845" width="9.140625" style="7"/>
    <col min="1846" max="1846" width="1.7109375" style="7" customWidth="1"/>
    <col min="1847" max="1847" width="19.140625" style="7" customWidth="1"/>
    <col min="1848" max="1848" width="35.140625" style="7" customWidth="1"/>
    <col min="1849" max="1849" width="9.85546875" style="7" bestFit="1" customWidth="1"/>
    <col min="1850" max="1850" width="8.85546875" style="7" bestFit="1" customWidth="1"/>
    <col min="1851" max="1861" width="10.28515625" style="7" customWidth="1"/>
    <col min="1862" max="2101" width="9.140625" style="7"/>
    <col min="2102" max="2102" width="1.7109375" style="7" customWidth="1"/>
    <col min="2103" max="2103" width="19.140625" style="7" customWidth="1"/>
    <col min="2104" max="2104" width="35.140625" style="7" customWidth="1"/>
    <col min="2105" max="2105" width="9.85546875" style="7" bestFit="1" customWidth="1"/>
    <col min="2106" max="2106" width="8.85546875" style="7" bestFit="1" customWidth="1"/>
    <col min="2107" max="2117" width="10.28515625" style="7" customWidth="1"/>
    <col min="2118" max="2357" width="9.140625" style="7"/>
    <col min="2358" max="2358" width="1.7109375" style="7" customWidth="1"/>
    <col min="2359" max="2359" width="19.140625" style="7" customWidth="1"/>
    <col min="2360" max="2360" width="35.140625" style="7" customWidth="1"/>
    <col min="2361" max="2361" width="9.85546875" style="7" bestFit="1" customWidth="1"/>
    <col min="2362" max="2362" width="8.85546875" style="7" bestFit="1" customWidth="1"/>
    <col min="2363" max="2373" width="10.28515625" style="7" customWidth="1"/>
    <col min="2374" max="2613" width="9.140625" style="7"/>
    <col min="2614" max="2614" width="1.7109375" style="7" customWidth="1"/>
    <col min="2615" max="2615" width="19.140625" style="7" customWidth="1"/>
    <col min="2616" max="2616" width="35.140625" style="7" customWidth="1"/>
    <col min="2617" max="2617" width="9.85546875" style="7" bestFit="1" customWidth="1"/>
    <col min="2618" max="2618" width="8.85546875" style="7" bestFit="1" customWidth="1"/>
    <col min="2619" max="2629" width="10.28515625" style="7" customWidth="1"/>
    <col min="2630" max="2869" width="9.140625" style="7"/>
    <col min="2870" max="2870" width="1.7109375" style="7" customWidth="1"/>
    <col min="2871" max="2871" width="19.140625" style="7" customWidth="1"/>
    <col min="2872" max="2872" width="35.140625" style="7" customWidth="1"/>
    <col min="2873" max="2873" width="9.85546875" style="7" bestFit="1" customWidth="1"/>
    <col min="2874" max="2874" width="8.85546875" style="7" bestFit="1" customWidth="1"/>
    <col min="2875" max="2885" width="10.28515625" style="7" customWidth="1"/>
    <col min="2886" max="3125" width="9.140625" style="7"/>
    <col min="3126" max="3126" width="1.7109375" style="7" customWidth="1"/>
    <col min="3127" max="3127" width="19.140625" style="7" customWidth="1"/>
    <col min="3128" max="3128" width="35.140625" style="7" customWidth="1"/>
    <col min="3129" max="3129" width="9.85546875" style="7" bestFit="1" customWidth="1"/>
    <col min="3130" max="3130" width="8.85546875" style="7" bestFit="1" customWidth="1"/>
    <col min="3131" max="3141" width="10.28515625" style="7" customWidth="1"/>
    <col min="3142" max="3381" width="9.140625" style="7"/>
    <col min="3382" max="3382" width="1.7109375" style="7" customWidth="1"/>
    <col min="3383" max="3383" width="19.140625" style="7" customWidth="1"/>
    <col min="3384" max="3384" width="35.140625" style="7" customWidth="1"/>
    <col min="3385" max="3385" width="9.85546875" style="7" bestFit="1" customWidth="1"/>
    <col min="3386" max="3386" width="8.85546875" style="7" bestFit="1" customWidth="1"/>
    <col min="3387" max="3397" width="10.28515625" style="7" customWidth="1"/>
    <col min="3398" max="3637" width="9.140625" style="7"/>
    <col min="3638" max="3638" width="1.7109375" style="7" customWidth="1"/>
    <col min="3639" max="3639" width="19.140625" style="7" customWidth="1"/>
    <col min="3640" max="3640" width="35.140625" style="7" customWidth="1"/>
    <col min="3641" max="3641" width="9.85546875" style="7" bestFit="1" customWidth="1"/>
    <col min="3642" max="3642" width="8.85546875" style="7" bestFit="1" customWidth="1"/>
    <col min="3643" max="3653" width="10.28515625" style="7" customWidth="1"/>
    <col min="3654" max="3893" width="9.140625" style="7"/>
    <col min="3894" max="3894" width="1.7109375" style="7" customWidth="1"/>
    <col min="3895" max="3895" width="19.140625" style="7" customWidth="1"/>
    <col min="3896" max="3896" width="35.140625" style="7" customWidth="1"/>
    <col min="3897" max="3897" width="9.85546875" style="7" bestFit="1" customWidth="1"/>
    <col min="3898" max="3898" width="8.85546875" style="7" bestFit="1" customWidth="1"/>
    <col min="3899" max="3909" width="10.28515625" style="7" customWidth="1"/>
    <col min="3910" max="4149" width="9.140625" style="7"/>
    <col min="4150" max="4150" width="1.7109375" style="7" customWidth="1"/>
    <col min="4151" max="4151" width="19.140625" style="7" customWidth="1"/>
    <col min="4152" max="4152" width="35.140625" style="7" customWidth="1"/>
    <col min="4153" max="4153" width="9.85546875" style="7" bestFit="1" customWidth="1"/>
    <col min="4154" max="4154" width="8.85546875" style="7" bestFit="1" customWidth="1"/>
    <col min="4155" max="4165" width="10.28515625" style="7" customWidth="1"/>
    <col min="4166" max="4405" width="9.140625" style="7"/>
    <col min="4406" max="4406" width="1.7109375" style="7" customWidth="1"/>
    <col min="4407" max="4407" width="19.140625" style="7" customWidth="1"/>
    <col min="4408" max="4408" width="35.140625" style="7" customWidth="1"/>
    <col min="4409" max="4409" width="9.85546875" style="7" bestFit="1" customWidth="1"/>
    <col min="4410" max="4410" width="8.85546875" style="7" bestFit="1" customWidth="1"/>
    <col min="4411" max="4421" width="10.28515625" style="7" customWidth="1"/>
    <col min="4422" max="4661" width="9.140625" style="7"/>
    <col min="4662" max="4662" width="1.7109375" style="7" customWidth="1"/>
    <col min="4663" max="4663" width="19.140625" style="7" customWidth="1"/>
    <col min="4664" max="4664" width="35.140625" style="7" customWidth="1"/>
    <col min="4665" max="4665" width="9.85546875" style="7" bestFit="1" customWidth="1"/>
    <col min="4666" max="4666" width="8.85546875" style="7" bestFit="1" customWidth="1"/>
    <col min="4667" max="4677" width="10.28515625" style="7" customWidth="1"/>
    <col min="4678" max="4917" width="9.140625" style="7"/>
    <col min="4918" max="4918" width="1.7109375" style="7" customWidth="1"/>
    <col min="4919" max="4919" width="19.140625" style="7" customWidth="1"/>
    <col min="4920" max="4920" width="35.140625" style="7" customWidth="1"/>
    <col min="4921" max="4921" width="9.85546875" style="7" bestFit="1" customWidth="1"/>
    <col min="4922" max="4922" width="8.85546875" style="7" bestFit="1" customWidth="1"/>
    <col min="4923" max="4933" width="10.28515625" style="7" customWidth="1"/>
    <col min="4934" max="5173" width="9.140625" style="7"/>
    <col min="5174" max="5174" width="1.7109375" style="7" customWidth="1"/>
    <col min="5175" max="5175" width="19.140625" style="7" customWidth="1"/>
    <col min="5176" max="5176" width="35.140625" style="7" customWidth="1"/>
    <col min="5177" max="5177" width="9.85546875" style="7" bestFit="1" customWidth="1"/>
    <col min="5178" max="5178" width="8.85546875" style="7" bestFit="1" customWidth="1"/>
    <col min="5179" max="5189" width="10.28515625" style="7" customWidth="1"/>
    <col min="5190" max="5429" width="9.140625" style="7"/>
    <col min="5430" max="5430" width="1.7109375" style="7" customWidth="1"/>
    <col min="5431" max="5431" width="19.140625" style="7" customWidth="1"/>
    <col min="5432" max="5432" width="35.140625" style="7" customWidth="1"/>
    <col min="5433" max="5433" width="9.85546875" style="7" bestFit="1" customWidth="1"/>
    <col min="5434" max="5434" width="8.85546875" style="7" bestFit="1" customWidth="1"/>
    <col min="5435" max="5445" width="10.28515625" style="7" customWidth="1"/>
    <col min="5446" max="5685" width="9.140625" style="7"/>
    <col min="5686" max="5686" width="1.7109375" style="7" customWidth="1"/>
    <col min="5687" max="5687" width="19.140625" style="7" customWidth="1"/>
    <col min="5688" max="5688" width="35.140625" style="7" customWidth="1"/>
    <col min="5689" max="5689" width="9.85546875" style="7" bestFit="1" customWidth="1"/>
    <col min="5690" max="5690" width="8.85546875" style="7" bestFit="1" customWidth="1"/>
    <col min="5691" max="5701" width="10.28515625" style="7" customWidth="1"/>
    <col min="5702" max="5941" width="9.140625" style="7"/>
    <col min="5942" max="5942" width="1.7109375" style="7" customWidth="1"/>
    <col min="5943" max="5943" width="19.140625" style="7" customWidth="1"/>
    <col min="5944" max="5944" width="35.140625" style="7" customWidth="1"/>
    <col min="5945" max="5945" width="9.85546875" style="7" bestFit="1" customWidth="1"/>
    <col min="5946" max="5946" width="8.85546875" style="7" bestFit="1" customWidth="1"/>
    <col min="5947" max="5957" width="10.28515625" style="7" customWidth="1"/>
    <col min="5958" max="6197" width="9.140625" style="7"/>
    <col min="6198" max="6198" width="1.7109375" style="7" customWidth="1"/>
    <col min="6199" max="6199" width="19.140625" style="7" customWidth="1"/>
    <col min="6200" max="6200" width="35.140625" style="7" customWidth="1"/>
    <col min="6201" max="6201" width="9.85546875" style="7" bestFit="1" customWidth="1"/>
    <col min="6202" max="6202" width="8.85546875" style="7" bestFit="1" customWidth="1"/>
    <col min="6203" max="6213" width="10.28515625" style="7" customWidth="1"/>
    <col min="6214" max="6453" width="9.140625" style="7"/>
    <col min="6454" max="6454" width="1.7109375" style="7" customWidth="1"/>
    <col min="6455" max="6455" width="19.140625" style="7" customWidth="1"/>
    <col min="6456" max="6456" width="35.140625" style="7" customWidth="1"/>
    <col min="6457" max="6457" width="9.85546875" style="7" bestFit="1" customWidth="1"/>
    <col min="6458" max="6458" width="8.85546875" style="7" bestFit="1" customWidth="1"/>
    <col min="6459" max="6469" width="10.28515625" style="7" customWidth="1"/>
    <col min="6470" max="6709" width="9.140625" style="7"/>
    <col min="6710" max="6710" width="1.7109375" style="7" customWidth="1"/>
    <col min="6711" max="6711" width="19.140625" style="7" customWidth="1"/>
    <col min="6712" max="6712" width="35.140625" style="7" customWidth="1"/>
    <col min="6713" max="6713" width="9.85546875" style="7" bestFit="1" customWidth="1"/>
    <col min="6714" max="6714" width="8.85546875" style="7" bestFit="1" customWidth="1"/>
    <col min="6715" max="6725" width="10.28515625" style="7" customWidth="1"/>
    <col min="6726" max="6965" width="9.140625" style="7"/>
    <col min="6966" max="6966" width="1.7109375" style="7" customWidth="1"/>
    <col min="6967" max="6967" width="19.140625" style="7" customWidth="1"/>
    <col min="6968" max="6968" width="35.140625" style="7" customWidth="1"/>
    <col min="6969" max="6969" width="9.85546875" style="7" bestFit="1" customWidth="1"/>
    <col min="6970" max="6970" width="8.85546875" style="7" bestFit="1" customWidth="1"/>
    <col min="6971" max="6981" width="10.28515625" style="7" customWidth="1"/>
    <col min="6982" max="7221" width="9.140625" style="7"/>
    <col min="7222" max="7222" width="1.7109375" style="7" customWidth="1"/>
    <col min="7223" max="7223" width="19.140625" style="7" customWidth="1"/>
    <col min="7224" max="7224" width="35.140625" style="7" customWidth="1"/>
    <col min="7225" max="7225" width="9.85546875" style="7" bestFit="1" customWidth="1"/>
    <col min="7226" max="7226" width="8.85546875" style="7" bestFit="1" customWidth="1"/>
    <col min="7227" max="7237" width="10.28515625" style="7" customWidth="1"/>
    <col min="7238" max="7477" width="9.140625" style="7"/>
    <col min="7478" max="7478" width="1.7109375" style="7" customWidth="1"/>
    <col min="7479" max="7479" width="19.140625" style="7" customWidth="1"/>
    <col min="7480" max="7480" width="35.140625" style="7" customWidth="1"/>
    <col min="7481" max="7481" width="9.85546875" style="7" bestFit="1" customWidth="1"/>
    <col min="7482" max="7482" width="8.85546875" style="7" bestFit="1" customWidth="1"/>
    <col min="7483" max="7493" width="10.28515625" style="7" customWidth="1"/>
    <col min="7494" max="7733" width="9.140625" style="7"/>
    <col min="7734" max="7734" width="1.7109375" style="7" customWidth="1"/>
    <col min="7735" max="7735" width="19.140625" style="7" customWidth="1"/>
    <col min="7736" max="7736" width="35.140625" style="7" customWidth="1"/>
    <col min="7737" max="7737" width="9.85546875" style="7" bestFit="1" customWidth="1"/>
    <col min="7738" max="7738" width="8.85546875" style="7" bestFit="1" customWidth="1"/>
    <col min="7739" max="7749" width="10.28515625" style="7" customWidth="1"/>
    <col min="7750" max="7989" width="9.140625" style="7"/>
    <col min="7990" max="7990" width="1.7109375" style="7" customWidth="1"/>
    <col min="7991" max="7991" width="19.140625" style="7" customWidth="1"/>
    <col min="7992" max="7992" width="35.140625" style="7" customWidth="1"/>
    <col min="7993" max="7993" width="9.85546875" style="7" bestFit="1" customWidth="1"/>
    <col min="7994" max="7994" width="8.85546875" style="7" bestFit="1" customWidth="1"/>
    <col min="7995" max="8005" width="10.28515625" style="7" customWidth="1"/>
    <col min="8006" max="8245" width="9.140625" style="7"/>
    <col min="8246" max="8246" width="1.7109375" style="7" customWidth="1"/>
    <col min="8247" max="8247" width="19.140625" style="7" customWidth="1"/>
    <col min="8248" max="8248" width="35.140625" style="7" customWidth="1"/>
    <col min="8249" max="8249" width="9.85546875" style="7" bestFit="1" customWidth="1"/>
    <col min="8250" max="8250" width="8.85546875" style="7" bestFit="1" customWidth="1"/>
    <col min="8251" max="8261" width="10.28515625" style="7" customWidth="1"/>
    <col min="8262" max="8501" width="9.140625" style="7"/>
    <col min="8502" max="8502" width="1.7109375" style="7" customWidth="1"/>
    <col min="8503" max="8503" width="19.140625" style="7" customWidth="1"/>
    <col min="8504" max="8504" width="35.140625" style="7" customWidth="1"/>
    <col min="8505" max="8505" width="9.85546875" style="7" bestFit="1" customWidth="1"/>
    <col min="8506" max="8506" width="8.85546875" style="7" bestFit="1" customWidth="1"/>
    <col min="8507" max="8517" width="10.28515625" style="7" customWidth="1"/>
    <col min="8518" max="8757" width="9.140625" style="7"/>
    <col min="8758" max="8758" width="1.7109375" style="7" customWidth="1"/>
    <col min="8759" max="8759" width="19.140625" style="7" customWidth="1"/>
    <col min="8760" max="8760" width="35.140625" style="7" customWidth="1"/>
    <col min="8761" max="8761" width="9.85546875" style="7" bestFit="1" customWidth="1"/>
    <col min="8762" max="8762" width="8.85546875" style="7" bestFit="1" customWidth="1"/>
    <col min="8763" max="8773" width="10.28515625" style="7" customWidth="1"/>
    <col min="8774" max="9013" width="9.140625" style="7"/>
    <col min="9014" max="9014" width="1.7109375" style="7" customWidth="1"/>
    <col min="9015" max="9015" width="19.140625" style="7" customWidth="1"/>
    <col min="9016" max="9016" width="35.140625" style="7" customWidth="1"/>
    <col min="9017" max="9017" width="9.85546875" style="7" bestFit="1" customWidth="1"/>
    <col min="9018" max="9018" width="8.85546875" style="7" bestFit="1" customWidth="1"/>
    <col min="9019" max="9029" width="10.28515625" style="7" customWidth="1"/>
    <col min="9030" max="9269" width="9.140625" style="7"/>
    <col min="9270" max="9270" width="1.7109375" style="7" customWidth="1"/>
    <col min="9271" max="9271" width="19.140625" style="7" customWidth="1"/>
    <col min="9272" max="9272" width="35.140625" style="7" customWidth="1"/>
    <col min="9273" max="9273" width="9.85546875" style="7" bestFit="1" customWidth="1"/>
    <col min="9274" max="9274" width="8.85546875" style="7" bestFit="1" customWidth="1"/>
    <col min="9275" max="9285" width="10.28515625" style="7" customWidth="1"/>
    <col min="9286" max="9525" width="9.140625" style="7"/>
    <col min="9526" max="9526" width="1.7109375" style="7" customWidth="1"/>
    <col min="9527" max="9527" width="19.140625" style="7" customWidth="1"/>
    <col min="9528" max="9528" width="35.140625" style="7" customWidth="1"/>
    <col min="9529" max="9529" width="9.85546875" style="7" bestFit="1" customWidth="1"/>
    <col min="9530" max="9530" width="8.85546875" style="7" bestFit="1" customWidth="1"/>
    <col min="9531" max="9541" width="10.28515625" style="7" customWidth="1"/>
    <col min="9542" max="9781" width="9.140625" style="7"/>
    <col min="9782" max="9782" width="1.7109375" style="7" customWidth="1"/>
    <col min="9783" max="9783" width="19.140625" style="7" customWidth="1"/>
    <col min="9784" max="9784" width="35.140625" style="7" customWidth="1"/>
    <col min="9785" max="9785" width="9.85546875" style="7" bestFit="1" customWidth="1"/>
    <col min="9786" max="9786" width="8.85546875" style="7" bestFit="1" customWidth="1"/>
    <col min="9787" max="9797" width="10.28515625" style="7" customWidth="1"/>
    <col min="9798" max="10037" width="9.140625" style="7"/>
    <col min="10038" max="10038" width="1.7109375" style="7" customWidth="1"/>
    <col min="10039" max="10039" width="19.140625" style="7" customWidth="1"/>
    <col min="10040" max="10040" width="35.140625" style="7" customWidth="1"/>
    <col min="10041" max="10041" width="9.85546875" style="7" bestFit="1" customWidth="1"/>
    <col min="10042" max="10042" width="8.85546875" style="7" bestFit="1" customWidth="1"/>
    <col min="10043" max="10053" width="10.28515625" style="7" customWidth="1"/>
    <col min="10054" max="10293" width="9.140625" style="7"/>
    <col min="10294" max="10294" width="1.7109375" style="7" customWidth="1"/>
    <col min="10295" max="10295" width="19.140625" style="7" customWidth="1"/>
    <col min="10296" max="10296" width="35.140625" style="7" customWidth="1"/>
    <col min="10297" max="10297" width="9.85546875" style="7" bestFit="1" customWidth="1"/>
    <col min="10298" max="10298" width="8.85546875" style="7" bestFit="1" customWidth="1"/>
    <col min="10299" max="10309" width="10.28515625" style="7" customWidth="1"/>
    <col min="10310" max="10549" width="9.140625" style="7"/>
    <col min="10550" max="10550" width="1.7109375" style="7" customWidth="1"/>
    <col min="10551" max="10551" width="19.140625" style="7" customWidth="1"/>
    <col min="10552" max="10552" width="35.140625" style="7" customWidth="1"/>
    <col min="10553" max="10553" width="9.85546875" style="7" bestFit="1" customWidth="1"/>
    <col min="10554" max="10554" width="8.85546875" style="7" bestFit="1" customWidth="1"/>
    <col min="10555" max="10565" width="10.28515625" style="7" customWidth="1"/>
    <col min="10566" max="10805" width="9.140625" style="7"/>
    <col min="10806" max="10806" width="1.7109375" style="7" customWidth="1"/>
    <col min="10807" max="10807" width="19.140625" style="7" customWidth="1"/>
    <col min="10808" max="10808" width="35.140625" style="7" customWidth="1"/>
    <col min="10809" max="10809" width="9.85546875" style="7" bestFit="1" customWidth="1"/>
    <col min="10810" max="10810" width="8.85546875" style="7" bestFit="1" customWidth="1"/>
    <col min="10811" max="10821" width="10.28515625" style="7" customWidth="1"/>
    <col min="10822" max="11061" width="9.140625" style="7"/>
    <col min="11062" max="11062" width="1.7109375" style="7" customWidth="1"/>
    <col min="11063" max="11063" width="19.140625" style="7" customWidth="1"/>
    <col min="11064" max="11064" width="35.140625" style="7" customWidth="1"/>
    <col min="11065" max="11065" width="9.85546875" style="7" bestFit="1" customWidth="1"/>
    <col min="11066" max="11066" width="8.85546875" style="7" bestFit="1" customWidth="1"/>
    <col min="11067" max="11077" width="10.28515625" style="7" customWidth="1"/>
    <col min="11078" max="11317" width="9.140625" style="7"/>
    <col min="11318" max="11318" width="1.7109375" style="7" customWidth="1"/>
    <col min="11319" max="11319" width="19.140625" style="7" customWidth="1"/>
    <col min="11320" max="11320" width="35.140625" style="7" customWidth="1"/>
    <col min="11321" max="11321" width="9.85546875" style="7" bestFit="1" customWidth="1"/>
    <col min="11322" max="11322" width="8.85546875" style="7" bestFit="1" customWidth="1"/>
    <col min="11323" max="11333" width="10.28515625" style="7" customWidth="1"/>
    <col min="11334" max="11573" width="9.140625" style="7"/>
    <col min="11574" max="11574" width="1.7109375" style="7" customWidth="1"/>
    <col min="11575" max="11575" width="19.140625" style="7" customWidth="1"/>
    <col min="11576" max="11576" width="35.140625" style="7" customWidth="1"/>
    <col min="11577" max="11577" width="9.85546875" style="7" bestFit="1" customWidth="1"/>
    <col min="11578" max="11578" width="8.85546875" style="7" bestFit="1" customWidth="1"/>
    <col min="11579" max="11589" width="10.28515625" style="7" customWidth="1"/>
    <col min="11590" max="11829" width="9.140625" style="7"/>
    <col min="11830" max="11830" width="1.7109375" style="7" customWidth="1"/>
    <col min="11831" max="11831" width="19.140625" style="7" customWidth="1"/>
    <col min="11832" max="11832" width="35.140625" style="7" customWidth="1"/>
    <col min="11833" max="11833" width="9.85546875" style="7" bestFit="1" customWidth="1"/>
    <col min="11834" max="11834" width="8.85546875" style="7" bestFit="1" customWidth="1"/>
    <col min="11835" max="11845" width="10.28515625" style="7" customWidth="1"/>
    <col min="11846" max="12085" width="9.140625" style="7"/>
    <col min="12086" max="12086" width="1.7109375" style="7" customWidth="1"/>
    <col min="12087" max="12087" width="19.140625" style="7" customWidth="1"/>
    <col min="12088" max="12088" width="35.140625" style="7" customWidth="1"/>
    <col min="12089" max="12089" width="9.85546875" style="7" bestFit="1" customWidth="1"/>
    <col min="12090" max="12090" width="8.85546875" style="7" bestFit="1" customWidth="1"/>
    <col min="12091" max="12101" width="10.28515625" style="7" customWidth="1"/>
    <col min="12102" max="12341" width="9.140625" style="7"/>
    <col min="12342" max="12342" width="1.7109375" style="7" customWidth="1"/>
    <col min="12343" max="12343" width="19.140625" style="7" customWidth="1"/>
    <col min="12344" max="12344" width="35.140625" style="7" customWidth="1"/>
    <col min="12345" max="12345" width="9.85546875" style="7" bestFit="1" customWidth="1"/>
    <col min="12346" max="12346" width="8.85546875" style="7" bestFit="1" customWidth="1"/>
    <col min="12347" max="12357" width="10.28515625" style="7" customWidth="1"/>
    <col min="12358" max="12597" width="9.140625" style="7"/>
    <col min="12598" max="12598" width="1.7109375" style="7" customWidth="1"/>
    <col min="12599" max="12599" width="19.140625" style="7" customWidth="1"/>
    <col min="12600" max="12600" width="35.140625" style="7" customWidth="1"/>
    <col min="12601" max="12601" width="9.85546875" style="7" bestFit="1" customWidth="1"/>
    <col min="12602" max="12602" width="8.85546875" style="7" bestFit="1" customWidth="1"/>
    <col min="12603" max="12613" width="10.28515625" style="7" customWidth="1"/>
    <col min="12614" max="12853" width="9.140625" style="7"/>
    <col min="12854" max="12854" width="1.7109375" style="7" customWidth="1"/>
    <col min="12855" max="12855" width="19.140625" style="7" customWidth="1"/>
    <col min="12856" max="12856" width="35.140625" style="7" customWidth="1"/>
    <col min="12857" max="12857" width="9.85546875" style="7" bestFit="1" customWidth="1"/>
    <col min="12858" max="12858" width="8.85546875" style="7" bestFit="1" customWidth="1"/>
    <col min="12859" max="12869" width="10.28515625" style="7" customWidth="1"/>
    <col min="12870" max="13109" width="9.140625" style="7"/>
    <col min="13110" max="13110" width="1.7109375" style="7" customWidth="1"/>
    <col min="13111" max="13111" width="19.140625" style="7" customWidth="1"/>
    <col min="13112" max="13112" width="35.140625" style="7" customWidth="1"/>
    <col min="13113" max="13113" width="9.85546875" style="7" bestFit="1" customWidth="1"/>
    <col min="13114" max="13114" width="8.85546875" style="7" bestFit="1" customWidth="1"/>
    <col min="13115" max="13125" width="10.28515625" style="7" customWidth="1"/>
    <col min="13126" max="13365" width="9.140625" style="7"/>
    <col min="13366" max="13366" width="1.7109375" style="7" customWidth="1"/>
    <col min="13367" max="13367" width="19.140625" style="7" customWidth="1"/>
    <col min="13368" max="13368" width="35.140625" style="7" customWidth="1"/>
    <col min="13369" max="13369" width="9.85546875" style="7" bestFit="1" customWidth="1"/>
    <col min="13370" max="13370" width="8.85546875" style="7" bestFit="1" customWidth="1"/>
    <col min="13371" max="13381" width="10.28515625" style="7" customWidth="1"/>
    <col min="13382" max="13621" width="9.140625" style="7"/>
    <col min="13622" max="13622" width="1.7109375" style="7" customWidth="1"/>
    <col min="13623" max="13623" width="19.140625" style="7" customWidth="1"/>
    <col min="13624" max="13624" width="35.140625" style="7" customWidth="1"/>
    <col min="13625" max="13625" width="9.85546875" style="7" bestFit="1" customWidth="1"/>
    <col min="13626" max="13626" width="8.85546875" style="7" bestFit="1" customWidth="1"/>
    <col min="13627" max="13637" width="10.28515625" style="7" customWidth="1"/>
    <col min="13638" max="13877" width="9.140625" style="7"/>
    <col min="13878" max="13878" width="1.7109375" style="7" customWidth="1"/>
    <col min="13879" max="13879" width="19.140625" style="7" customWidth="1"/>
    <col min="13880" max="13880" width="35.140625" style="7" customWidth="1"/>
    <col min="13881" max="13881" width="9.85546875" style="7" bestFit="1" customWidth="1"/>
    <col min="13882" max="13882" width="8.85546875" style="7" bestFit="1" customWidth="1"/>
    <col min="13883" max="13893" width="10.28515625" style="7" customWidth="1"/>
    <col min="13894" max="14133" width="9.140625" style="7"/>
    <col min="14134" max="14134" width="1.7109375" style="7" customWidth="1"/>
    <col min="14135" max="14135" width="19.140625" style="7" customWidth="1"/>
    <col min="14136" max="14136" width="35.140625" style="7" customWidth="1"/>
    <col min="14137" max="14137" width="9.85546875" style="7" bestFit="1" customWidth="1"/>
    <col min="14138" max="14138" width="8.85546875" style="7" bestFit="1" customWidth="1"/>
    <col min="14139" max="14149" width="10.28515625" style="7" customWidth="1"/>
    <col min="14150" max="14389" width="9.140625" style="7"/>
    <col min="14390" max="14390" width="1.7109375" style="7" customWidth="1"/>
    <col min="14391" max="14391" width="19.140625" style="7" customWidth="1"/>
    <col min="14392" max="14392" width="35.140625" style="7" customWidth="1"/>
    <col min="14393" max="14393" width="9.85546875" style="7" bestFit="1" customWidth="1"/>
    <col min="14394" max="14394" width="8.85546875" style="7" bestFit="1" customWidth="1"/>
    <col min="14395" max="14405" width="10.28515625" style="7" customWidth="1"/>
    <col min="14406" max="14645" width="9.140625" style="7"/>
    <col min="14646" max="14646" width="1.7109375" style="7" customWidth="1"/>
    <col min="14647" max="14647" width="19.140625" style="7" customWidth="1"/>
    <col min="14648" max="14648" width="35.140625" style="7" customWidth="1"/>
    <col min="14649" max="14649" width="9.85546875" style="7" bestFit="1" customWidth="1"/>
    <col min="14650" max="14650" width="8.85546875" style="7" bestFit="1" customWidth="1"/>
    <col min="14651" max="14661" width="10.28515625" style="7" customWidth="1"/>
    <col min="14662" max="14901" width="9.140625" style="7"/>
    <col min="14902" max="14902" width="1.7109375" style="7" customWidth="1"/>
    <col min="14903" max="14903" width="19.140625" style="7" customWidth="1"/>
    <col min="14904" max="14904" width="35.140625" style="7" customWidth="1"/>
    <col min="14905" max="14905" width="9.85546875" style="7" bestFit="1" customWidth="1"/>
    <col min="14906" max="14906" width="8.85546875" style="7" bestFit="1" customWidth="1"/>
    <col min="14907" max="14917" width="10.28515625" style="7" customWidth="1"/>
    <col min="14918" max="15157" width="9.140625" style="7"/>
    <col min="15158" max="15158" width="1.7109375" style="7" customWidth="1"/>
    <col min="15159" max="15159" width="19.140625" style="7" customWidth="1"/>
    <col min="15160" max="15160" width="35.140625" style="7" customWidth="1"/>
    <col min="15161" max="15161" width="9.85546875" style="7" bestFit="1" customWidth="1"/>
    <col min="15162" max="15162" width="8.85546875" style="7" bestFit="1" customWidth="1"/>
    <col min="15163" max="15173" width="10.28515625" style="7" customWidth="1"/>
    <col min="15174" max="15413" width="9.140625" style="7"/>
    <col min="15414" max="15414" width="1.7109375" style="7" customWidth="1"/>
    <col min="15415" max="15415" width="19.140625" style="7" customWidth="1"/>
    <col min="15416" max="15416" width="35.140625" style="7" customWidth="1"/>
    <col min="15417" max="15417" width="9.85546875" style="7" bestFit="1" customWidth="1"/>
    <col min="15418" max="15418" width="8.85546875" style="7" bestFit="1" customWidth="1"/>
    <col min="15419" max="15429" width="10.28515625" style="7" customWidth="1"/>
    <col min="15430" max="15669" width="9.140625" style="7"/>
    <col min="15670" max="15670" width="1.7109375" style="7" customWidth="1"/>
    <col min="15671" max="15671" width="19.140625" style="7" customWidth="1"/>
    <col min="15672" max="15672" width="35.140625" style="7" customWidth="1"/>
    <col min="15673" max="15673" width="9.85546875" style="7" bestFit="1" customWidth="1"/>
    <col min="15674" max="15674" width="8.85546875" style="7" bestFit="1" customWidth="1"/>
    <col min="15675" max="15685" width="10.28515625" style="7" customWidth="1"/>
    <col min="15686" max="15925" width="9.140625" style="7"/>
    <col min="15926" max="15926" width="1.7109375" style="7" customWidth="1"/>
    <col min="15927" max="15927" width="19.140625" style="7" customWidth="1"/>
    <col min="15928" max="15928" width="35.140625" style="7" customWidth="1"/>
    <col min="15929" max="15929" width="9.85546875" style="7" bestFit="1" customWidth="1"/>
    <col min="15930" max="15930" width="8.85546875" style="7" bestFit="1" customWidth="1"/>
    <col min="15931" max="15941" width="10.28515625" style="7" customWidth="1"/>
    <col min="15942" max="16181" width="9.140625" style="7"/>
    <col min="16182" max="16182" width="1.7109375" style="7" customWidth="1"/>
    <col min="16183" max="16183" width="19.140625" style="7" customWidth="1"/>
    <col min="16184" max="16184" width="35.140625" style="7" customWidth="1"/>
    <col min="16185" max="16185" width="9.85546875" style="7" bestFit="1" customWidth="1"/>
    <col min="16186" max="16186" width="8.85546875" style="7" bestFit="1" customWidth="1"/>
    <col min="16187" max="16197" width="10.28515625" style="7" customWidth="1"/>
    <col min="16198" max="16384" width="9.140625" style="7"/>
  </cols>
  <sheetData>
    <row r="1" spans="1:70" ht="27" thickBot="1">
      <c r="A1" s="668"/>
      <c r="B1" s="668"/>
      <c r="C1" s="668"/>
      <c r="D1" s="668"/>
      <c r="E1" s="668"/>
      <c r="F1" s="668"/>
      <c r="G1" s="672" t="s">
        <v>737</v>
      </c>
      <c r="H1" s="673"/>
      <c r="I1" s="673"/>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4"/>
      <c r="AJ1" s="674"/>
      <c r="AK1" s="674"/>
      <c r="AL1" s="674"/>
      <c r="AM1" s="674"/>
      <c r="AN1" s="674"/>
      <c r="AO1" s="674"/>
      <c r="AP1" s="674"/>
      <c r="AQ1" s="674"/>
      <c r="AR1" s="674"/>
      <c r="AS1" s="674"/>
      <c r="AT1" s="674"/>
      <c r="AU1" s="674"/>
      <c r="AV1" s="674"/>
      <c r="AW1" s="674"/>
      <c r="AX1" s="674"/>
      <c r="AY1" s="674"/>
      <c r="AZ1" s="674"/>
      <c r="BA1" s="674"/>
      <c r="BB1" s="674"/>
      <c r="BC1" s="674"/>
      <c r="BD1" s="674"/>
      <c r="BE1" s="674"/>
      <c r="BF1" s="674"/>
      <c r="BG1" s="674"/>
      <c r="BH1" s="674"/>
      <c r="BI1" s="674"/>
      <c r="BJ1" s="674"/>
      <c r="BK1" s="674"/>
      <c r="BL1" s="674"/>
      <c r="BM1" s="674"/>
      <c r="BN1" s="674"/>
      <c r="BO1" s="674"/>
      <c r="BP1" s="674"/>
      <c r="BQ1" s="675"/>
    </row>
    <row r="2" spans="1:70" ht="36" customHeight="1">
      <c r="A2" s="242"/>
      <c r="B2" s="242"/>
      <c r="C2" s="242"/>
      <c r="D2" s="680" t="s">
        <v>104</v>
      </c>
      <c r="E2" s="681"/>
      <c r="F2" s="682"/>
      <c r="G2" s="662" t="str">
        <f>'TCO TO BE- SW'!F2</f>
        <v>Distribučné služby – poskytovanie údajov</v>
      </c>
      <c r="H2" s="663"/>
      <c r="I2" s="664"/>
      <c r="J2" s="662" t="str">
        <f>'TCO TO BE- SW'!G2</f>
        <v>Prehliadanie údajov (koncová služba) – základ</v>
      </c>
      <c r="K2" s="663"/>
      <c r="L2" s="664"/>
      <c r="M2" s="662" t="str">
        <f>'TCO TO BE- SW'!H2</f>
        <v>Služba požiadaviek na 3D mapovanie (koncová služba)</v>
      </c>
      <c r="N2" s="663"/>
      <c r="O2" s="664"/>
      <c r="P2" s="662" t="str">
        <f>'TCO TO BE- SW'!I2</f>
        <v>Interné služby – automatizovaná správa údajov (základ)</v>
      </c>
      <c r="Q2" s="663"/>
      <c r="R2" s="664"/>
      <c r="S2" s="662" t="str">
        <f>'TCO TO BE- SW'!J2</f>
        <v>Distribučné služby – rozšírenie o 3D vektor LOD2.x</v>
      </c>
      <c r="T2" s="663"/>
      <c r="U2" s="664"/>
      <c r="V2" s="662" t="str">
        <f>'TCO TO BE- SW'!K2</f>
        <v>Prehliadanie 3D údajov + základné analýzy (koncová služba)</v>
      </c>
      <c r="W2" s="663"/>
      <c r="X2" s="664"/>
      <c r="Y2" s="662" t="str">
        <f>'TCO TO BE- SW'!L2</f>
        <v>Online vytváranie a dopĺňanie 3D údajov (koncová služba)</v>
      </c>
      <c r="Z2" s="663"/>
      <c r="AA2" s="664"/>
      <c r="AB2" s="662" t="str">
        <f>'TCO TO BE- SW'!M2</f>
        <v>Validácia a zápis do databázy (autorizované údaje)</v>
      </c>
      <c r="AC2" s="663"/>
      <c r="AD2" s="664"/>
      <c r="AE2" s="662" t="str">
        <f>'TCO TO BE- SW'!N2</f>
        <v>Podpora stavebného konania (DOK) – koncová služba</v>
      </c>
      <c r="AF2" s="663"/>
      <c r="AG2" s="664"/>
      <c r="AH2" s="662" t="str">
        <f>'TCO TO BE- SW'!O2</f>
        <v>Vloženie porealizačných údajov nových stavieb</v>
      </c>
      <c r="AI2" s="663"/>
      <c r="AJ2" s="664"/>
      <c r="AK2" s="662" t="str">
        <f>'TCO TO BE- SW'!P2</f>
        <v>Rozšírenie interných funkcií pre katalóg a publikovanie</v>
      </c>
      <c r="AL2" s="663"/>
      <c r="AM2" s="664"/>
      <c r="AN2" s="662" t="str">
        <f>'TCO TO BE- SW'!Q2</f>
        <v>Rozšírenie správy používateľov a prístupov (funkčne)</v>
      </c>
      <c r="AO2" s="663"/>
      <c r="AP2" s="664"/>
      <c r="AQ2" s="662" t="str">
        <f>'TCO TO BE- SW'!R2</f>
        <v>Kvalita, konzistencia, verzovanie (funkčné prvky)</v>
      </c>
      <c r="AR2" s="663"/>
      <c r="AS2" s="664"/>
      <c r="AT2" s="662" t="str">
        <f>'TCO TO BE- SW'!S2</f>
        <v>Distribúcia – škálovanie a automatizácia</v>
      </c>
      <c r="AU2" s="663"/>
      <c r="AV2" s="664"/>
      <c r="AW2" s="662" t="str">
        <f>'TCO TO BE- SW'!T2</f>
        <v>Prehliadanie a analýzy – pokročilé</v>
      </c>
      <c r="AX2" s="663"/>
      <c r="AY2" s="664"/>
      <c r="AZ2" s="662" t="str">
        <f>'TCO TO BE- SW'!U2</f>
        <v>Online tvorba a import – škálovanie</v>
      </c>
      <c r="BA2" s="663"/>
      <c r="BB2" s="664"/>
      <c r="BC2" s="662" t="str">
        <f>'TCO TO BE- SW'!V2</f>
        <v>Podpora stavebného konania – integrácie a audit</v>
      </c>
      <c r="BD2" s="663"/>
      <c r="BE2" s="664"/>
      <c r="BF2" s="662" t="str">
        <f>'TCO TO BE- SW'!W2</f>
        <v>Automatizovaná správa údajov – metadáta, indexácia, archív</v>
      </c>
      <c r="BG2" s="663"/>
      <c r="BH2" s="664"/>
      <c r="BI2" s="662" t="str">
        <f>'TCO TO BE- SW'!X2</f>
        <v>Plánovanie zberu údajov (interná služba)</v>
      </c>
      <c r="BJ2" s="663"/>
      <c r="BK2" s="664"/>
      <c r="BL2" s="662" t="str">
        <f>'TCO TO BE- SW'!Y2</f>
        <v>Reporty a exporty pre riadenie (funkčne)</v>
      </c>
      <c r="BM2" s="663"/>
      <c r="BN2" s="664"/>
      <c r="BO2" s="662">
        <f>'TCO TO BE- SW'!Z2</f>
        <v>0</v>
      </c>
      <c r="BP2" s="663"/>
      <c r="BQ2" s="664"/>
    </row>
    <row r="3" spans="1:70" ht="36" customHeight="1" thickBot="1">
      <c r="A3" s="242" t="s">
        <v>252</v>
      </c>
      <c r="B3" s="242"/>
      <c r="C3" s="242"/>
      <c r="D3" s="363"/>
      <c r="E3" s="361"/>
      <c r="F3" s="362"/>
      <c r="G3" s="659"/>
      <c r="H3" s="660"/>
      <c r="I3" s="661"/>
      <c r="J3" s="659"/>
      <c r="K3" s="660"/>
      <c r="L3" s="661"/>
      <c r="M3" s="659"/>
      <c r="N3" s="660"/>
      <c r="O3" s="661"/>
      <c r="P3" s="659"/>
      <c r="Q3" s="660"/>
      <c r="R3" s="661"/>
      <c r="S3" s="659"/>
      <c r="T3" s="660"/>
      <c r="U3" s="661"/>
      <c r="V3" s="659"/>
      <c r="W3" s="660"/>
      <c r="X3" s="661"/>
      <c r="Y3" s="659"/>
      <c r="Z3" s="660"/>
      <c r="AA3" s="661"/>
      <c r="AB3" s="659"/>
      <c r="AC3" s="660"/>
      <c r="AD3" s="661"/>
      <c r="AE3" s="659"/>
      <c r="AF3" s="660"/>
      <c r="AG3" s="661"/>
      <c r="AH3" s="659"/>
      <c r="AI3" s="660"/>
      <c r="AJ3" s="661"/>
      <c r="AK3" s="659"/>
      <c r="AL3" s="660"/>
      <c r="AM3" s="661"/>
      <c r="AN3" s="659"/>
      <c r="AO3" s="660"/>
      <c r="AP3" s="661"/>
      <c r="AQ3" s="659"/>
      <c r="AR3" s="660"/>
      <c r="AS3" s="661"/>
      <c r="AT3" s="659"/>
      <c r="AU3" s="660"/>
      <c r="AV3" s="661"/>
      <c r="AW3" s="659"/>
      <c r="AX3" s="660"/>
      <c r="AY3" s="661"/>
      <c r="AZ3" s="659"/>
      <c r="BA3" s="660"/>
      <c r="BB3" s="661"/>
      <c r="BC3" s="659"/>
      <c r="BD3" s="660"/>
      <c r="BE3" s="661"/>
      <c r="BF3" s="659"/>
      <c r="BG3" s="660"/>
      <c r="BH3" s="661"/>
      <c r="BI3" s="659"/>
      <c r="BJ3" s="660"/>
      <c r="BK3" s="661"/>
      <c r="BL3" s="659"/>
      <c r="BM3" s="660"/>
      <c r="BN3" s="661"/>
      <c r="BO3" s="659"/>
      <c r="BP3" s="660"/>
      <c r="BQ3" s="661"/>
    </row>
    <row r="4" spans="1:70" s="58" customFormat="1" ht="15.75" customHeight="1" thickBot="1">
      <c r="A4" s="244" t="s">
        <v>40</v>
      </c>
      <c r="B4" s="244" t="s">
        <v>10</v>
      </c>
      <c r="C4" s="244" t="s">
        <v>23</v>
      </c>
      <c r="D4" s="245" t="s">
        <v>173</v>
      </c>
      <c r="E4" s="246" t="s">
        <v>126</v>
      </c>
      <c r="F4" s="247" t="s">
        <v>119</v>
      </c>
      <c r="G4" s="248" t="s">
        <v>173</v>
      </c>
      <c r="H4" s="248" t="s">
        <v>126</v>
      </c>
      <c r="I4" s="249" t="s">
        <v>119</v>
      </c>
      <c r="J4" s="248" t="s">
        <v>173</v>
      </c>
      <c r="K4" s="248" t="s">
        <v>126</v>
      </c>
      <c r="L4" s="249" t="s">
        <v>119</v>
      </c>
      <c r="M4" s="248" t="s">
        <v>173</v>
      </c>
      <c r="N4" s="248" t="s">
        <v>126</v>
      </c>
      <c r="O4" s="249" t="s">
        <v>119</v>
      </c>
      <c r="P4" s="248" t="s">
        <v>173</v>
      </c>
      <c r="Q4" s="248" t="s">
        <v>126</v>
      </c>
      <c r="R4" s="249" t="s">
        <v>119</v>
      </c>
      <c r="S4" s="248" t="s">
        <v>173</v>
      </c>
      <c r="T4" s="248" t="s">
        <v>126</v>
      </c>
      <c r="U4" s="249" t="s">
        <v>119</v>
      </c>
      <c r="V4" s="248" t="s">
        <v>173</v>
      </c>
      <c r="W4" s="248" t="s">
        <v>126</v>
      </c>
      <c r="X4" s="249" t="s">
        <v>119</v>
      </c>
      <c r="Y4" s="248" t="s">
        <v>173</v>
      </c>
      <c r="Z4" s="248" t="s">
        <v>126</v>
      </c>
      <c r="AA4" s="249" t="s">
        <v>119</v>
      </c>
      <c r="AB4" s="248" t="s">
        <v>173</v>
      </c>
      <c r="AC4" s="248" t="s">
        <v>126</v>
      </c>
      <c r="AD4" s="249" t="s">
        <v>119</v>
      </c>
      <c r="AE4" s="248" t="s">
        <v>173</v>
      </c>
      <c r="AF4" s="248" t="s">
        <v>126</v>
      </c>
      <c r="AG4" s="249" t="s">
        <v>119</v>
      </c>
      <c r="AH4" s="248" t="s">
        <v>173</v>
      </c>
      <c r="AI4" s="248" t="s">
        <v>126</v>
      </c>
      <c r="AJ4" s="249" t="s">
        <v>119</v>
      </c>
      <c r="AK4" s="248" t="s">
        <v>173</v>
      </c>
      <c r="AL4" s="248" t="s">
        <v>126</v>
      </c>
      <c r="AM4" s="249" t="s">
        <v>119</v>
      </c>
      <c r="AN4" s="248" t="s">
        <v>173</v>
      </c>
      <c r="AO4" s="248" t="s">
        <v>126</v>
      </c>
      <c r="AP4" s="249" t="s">
        <v>119</v>
      </c>
      <c r="AQ4" s="248" t="s">
        <v>173</v>
      </c>
      <c r="AR4" s="248" t="s">
        <v>126</v>
      </c>
      <c r="AS4" s="249" t="s">
        <v>119</v>
      </c>
      <c r="AT4" s="248" t="s">
        <v>173</v>
      </c>
      <c r="AU4" s="248" t="s">
        <v>126</v>
      </c>
      <c r="AV4" s="249" t="s">
        <v>119</v>
      </c>
      <c r="AW4" s="248" t="s">
        <v>173</v>
      </c>
      <c r="AX4" s="248" t="s">
        <v>126</v>
      </c>
      <c r="AY4" s="249" t="s">
        <v>119</v>
      </c>
      <c r="AZ4" s="248" t="s">
        <v>173</v>
      </c>
      <c r="BA4" s="248" t="s">
        <v>126</v>
      </c>
      <c r="BB4" s="249" t="s">
        <v>119</v>
      </c>
      <c r="BC4" s="248" t="s">
        <v>173</v>
      </c>
      <c r="BD4" s="248" t="s">
        <v>126</v>
      </c>
      <c r="BE4" s="249" t="s">
        <v>119</v>
      </c>
      <c r="BF4" s="248" t="s">
        <v>173</v>
      </c>
      <c r="BG4" s="248" t="s">
        <v>126</v>
      </c>
      <c r="BH4" s="249" t="s">
        <v>119</v>
      </c>
      <c r="BI4" s="248" t="s">
        <v>173</v>
      </c>
      <c r="BJ4" s="248" t="s">
        <v>126</v>
      </c>
      <c r="BK4" s="249" t="s">
        <v>119</v>
      </c>
      <c r="BL4" s="248" t="s">
        <v>173</v>
      </c>
      <c r="BM4" s="248" t="s">
        <v>126</v>
      </c>
      <c r="BN4" s="249" t="s">
        <v>119</v>
      </c>
      <c r="BO4" s="248" t="s">
        <v>173</v>
      </c>
      <c r="BP4" s="248" t="s">
        <v>126</v>
      </c>
      <c r="BQ4" s="249" t="s">
        <v>119</v>
      </c>
      <c r="BR4" s="250"/>
    </row>
    <row r="5" spans="1:70" ht="14.45" customHeight="1">
      <c r="A5" s="665" t="s">
        <v>237</v>
      </c>
      <c r="B5" s="669" t="s">
        <v>37</v>
      </c>
      <c r="C5" s="251" t="s">
        <v>25</v>
      </c>
      <c r="D5" s="252">
        <f>SUM(G5,J5,M5,P5,S5,V5,Y5,AB5,AE5,AH5,AK5,AN5,AQ5,AT5,AW5,AZ5,AZ5,BC5,BF5,BI5,BL5,BO5)</f>
        <v>0</v>
      </c>
      <c r="E5" s="253">
        <f>SUM(H5,K5,N5,Q5,T5,W5,Z5,AC5,AF5,AI5,AL5,AO5,AR5,AU5,AX5,BA5,BA5,BD5,BG5,BJ5,BM5,BP5)</f>
        <v>210000</v>
      </c>
      <c r="F5" s="254">
        <f>SUM(I5,L5,O5,R5,U5,X5,AA5,AD5,AG5,AJ5,AM5,AP5,AS5,AV5,AY5,BB5,BB5,BE5,BH5,BK5,BN5,BQ5)</f>
        <v>210000</v>
      </c>
      <c r="G5" s="527">
        <v>0</v>
      </c>
      <c r="H5" s="528">
        <v>10000</v>
      </c>
      <c r="I5" s="257">
        <f>H5-G5</f>
        <v>10000</v>
      </c>
      <c r="J5" s="528">
        <v>0</v>
      </c>
      <c r="K5" s="528">
        <v>10000</v>
      </c>
      <c r="L5" s="257">
        <f>K5-J5</f>
        <v>10000</v>
      </c>
      <c r="M5" s="528">
        <v>0</v>
      </c>
      <c r="N5" s="528">
        <v>10000</v>
      </c>
      <c r="O5" s="257">
        <f>N5-M5</f>
        <v>10000</v>
      </c>
      <c r="P5" s="528">
        <v>0</v>
      </c>
      <c r="Q5" s="528">
        <v>10000</v>
      </c>
      <c r="R5" s="257">
        <f>Q5-P5</f>
        <v>10000</v>
      </c>
      <c r="S5" s="528">
        <v>0</v>
      </c>
      <c r="T5" s="528">
        <v>10000</v>
      </c>
      <c r="U5" s="257">
        <f>T5-S5</f>
        <v>10000</v>
      </c>
      <c r="V5" s="528">
        <v>0</v>
      </c>
      <c r="W5" s="528">
        <v>10000</v>
      </c>
      <c r="X5" s="257">
        <f>W5-V5</f>
        <v>10000</v>
      </c>
      <c r="Y5" s="528">
        <v>0</v>
      </c>
      <c r="Z5" s="528">
        <v>10000</v>
      </c>
      <c r="AA5" s="257">
        <f>Z5-Y5</f>
        <v>10000</v>
      </c>
      <c r="AB5" s="528">
        <v>0</v>
      </c>
      <c r="AC5" s="528">
        <v>10000</v>
      </c>
      <c r="AD5" s="257">
        <f>AC5-AB5</f>
        <v>10000</v>
      </c>
      <c r="AE5" s="528">
        <v>0</v>
      </c>
      <c r="AF5" s="528">
        <v>10000</v>
      </c>
      <c r="AG5" s="257">
        <f>AF5-AE5</f>
        <v>10000</v>
      </c>
      <c r="AH5" s="528">
        <v>0</v>
      </c>
      <c r="AI5" s="528">
        <v>10000</v>
      </c>
      <c r="AJ5" s="257">
        <f>AI5-AH5</f>
        <v>10000</v>
      </c>
      <c r="AK5" s="528">
        <v>0</v>
      </c>
      <c r="AL5" s="528">
        <v>10000</v>
      </c>
      <c r="AM5" s="257">
        <f>AL5-AK5</f>
        <v>10000</v>
      </c>
      <c r="AN5" s="528">
        <v>0</v>
      </c>
      <c r="AO5" s="528">
        <v>10000</v>
      </c>
      <c r="AP5" s="257">
        <f>AO5-AN5</f>
        <v>10000</v>
      </c>
      <c r="AQ5" s="528">
        <v>0</v>
      </c>
      <c r="AR5" s="528">
        <v>10000</v>
      </c>
      <c r="AS5" s="257">
        <f>AR5-AQ5</f>
        <v>10000</v>
      </c>
      <c r="AT5" s="528">
        <v>0</v>
      </c>
      <c r="AU5" s="528">
        <v>10000</v>
      </c>
      <c r="AV5" s="257">
        <f>AU5-AT5</f>
        <v>10000</v>
      </c>
      <c r="AW5" s="528">
        <v>0</v>
      </c>
      <c r="AX5" s="528">
        <v>10000</v>
      </c>
      <c r="AY5" s="257">
        <f>AX5-AW5</f>
        <v>10000</v>
      </c>
      <c r="AZ5" s="528">
        <v>0</v>
      </c>
      <c r="BA5" s="528">
        <v>10000</v>
      </c>
      <c r="BB5" s="257">
        <f>BA5-AZ5</f>
        <v>10000</v>
      </c>
      <c r="BC5" s="528">
        <v>0</v>
      </c>
      <c r="BD5" s="528">
        <v>10000</v>
      </c>
      <c r="BE5" s="257">
        <f>BD5-BC5</f>
        <v>10000</v>
      </c>
      <c r="BF5" s="528">
        <v>0</v>
      </c>
      <c r="BG5" s="528">
        <v>10000</v>
      </c>
      <c r="BH5" s="257">
        <f>BG5-BF5</f>
        <v>10000</v>
      </c>
      <c r="BI5" s="528">
        <v>0</v>
      </c>
      <c r="BJ5" s="528">
        <v>10000</v>
      </c>
      <c r="BK5" s="257">
        <f>BJ5-BI5</f>
        <v>10000</v>
      </c>
      <c r="BL5" s="528">
        <v>0</v>
      </c>
      <c r="BM5" s="528">
        <v>10000</v>
      </c>
      <c r="BN5" s="257">
        <f>BM5-BL5</f>
        <v>10000</v>
      </c>
      <c r="BO5" s="255"/>
      <c r="BP5" s="256"/>
      <c r="BQ5" s="257">
        <f>BP5-BO5</f>
        <v>0</v>
      </c>
      <c r="BR5" s="258">
        <v>0</v>
      </c>
    </row>
    <row r="6" spans="1:70">
      <c r="A6" s="666"/>
      <c r="B6" s="670"/>
      <c r="C6" s="24" t="s">
        <v>26</v>
      </c>
      <c r="D6" s="259">
        <f t="shared" ref="D6:D14" si="0">SUM(G6,J6,M6,P6,S6,V6,Y6,AB6,AE6,AH6,AK6,AN6,AQ6,AT6,AW6,AZ6,AZ6,BC6,BF6,BI6,BL6,BO6)</f>
        <v>0</v>
      </c>
      <c r="E6" s="260">
        <f t="shared" ref="E6:E14" si="1">SUM(H6,K6,N6,Q6,T6,W6,Z6,AC6,AF6,AI6,AL6,AO6,AR6,AU6,AX6,BA6,BA6,BD6,BG6,BJ6,BM6,BP6)</f>
        <v>210000</v>
      </c>
      <c r="F6" s="261">
        <f t="shared" ref="F6:F14" si="2">SUM(I6,L6,O6,R6,U6,X6,AA6,AD6,AG6,AJ6,AM6,AP6,AS6,AV6,AY6,BB6,BB6,BE6,BH6,BK6,BN6,BQ6)</f>
        <v>210000</v>
      </c>
      <c r="G6" s="529">
        <v>0</v>
      </c>
      <c r="H6" s="530">
        <v>10000</v>
      </c>
      <c r="I6" s="262">
        <f t="shared" ref="I6:I24" si="3">H6-G6</f>
        <v>10000</v>
      </c>
      <c r="J6" s="530">
        <v>0</v>
      </c>
      <c r="K6" s="530">
        <v>10000</v>
      </c>
      <c r="L6" s="262">
        <f t="shared" ref="L6:L24" si="4">K6-J6</f>
        <v>10000</v>
      </c>
      <c r="M6" s="530">
        <v>0</v>
      </c>
      <c r="N6" s="530">
        <v>10000</v>
      </c>
      <c r="O6" s="262">
        <f t="shared" ref="O6:O24" si="5">N6-M6</f>
        <v>10000</v>
      </c>
      <c r="P6" s="530">
        <v>0</v>
      </c>
      <c r="Q6" s="530">
        <v>10000</v>
      </c>
      <c r="R6" s="262">
        <f t="shared" ref="R6:R24" si="6">Q6-P6</f>
        <v>10000</v>
      </c>
      <c r="S6" s="530">
        <v>0</v>
      </c>
      <c r="T6" s="530">
        <v>10000</v>
      </c>
      <c r="U6" s="262">
        <f t="shared" ref="U6:U24" si="7">T6-S6</f>
        <v>10000</v>
      </c>
      <c r="V6" s="530">
        <v>0</v>
      </c>
      <c r="W6" s="530">
        <v>10000</v>
      </c>
      <c r="X6" s="262">
        <f t="shared" ref="X6:X24" si="8">W6-V6</f>
        <v>10000</v>
      </c>
      <c r="Y6" s="530">
        <v>0</v>
      </c>
      <c r="Z6" s="530">
        <v>10000</v>
      </c>
      <c r="AA6" s="262">
        <f t="shared" ref="AA6:AA24" si="9">Z6-Y6</f>
        <v>10000</v>
      </c>
      <c r="AB6" s="530">
        <v>0</v>
      </c>
      <c r="AC6" s="530">
        <v>10000</v>
      </c>
      <c r="AD6" s="262">
        <f t="shared" ref="AD6:AD24" si="10">AC6-AB6</f>
        <v>10000</v>
      </c>
      <c r="AE6" s="530">
        <v>0</v>
      </c>
      <c r="AF6" s="530">
        <v>10000</v>
      </c>
      <c r="AG6" s="262">
        <f t="shared" ref="AG6:AG24" si="11">AF6-AE6</f>
        <v>10000</v>
      </c>
      <c r="AH6" s="530">
        <v>0</v>
      </c>
      <c r="AI6" s="530">
        <v>10000</v>
      </c>
      <c r="AJ6" s="262">
        <f t="shared" ref="AJ6:AJ24" si="12">AI6-AH6</f>
        <v>10000</v>
      </c>
      <c r="AK6" s="530">
        <v>0</v>
      </c>
      <c r="AL6" s="530">
        <v>10000</v>
      </c>
      <c r="AM6" s="262">
        <f t="shared" ref="AM6:AM24" si="13">AL6-AK6</f>
        <v>10000</v>
      </c>
      <c r="AN6" s="530">
        <v>0</v>
      </c>
      <c r="AO6" s="530">
        <v>10000</v>
      </c>
      <c r="AP6" s="262">
        <f t="shared" ref="AP6:AP24" si="14">AO6-AN6</f>
        <v>10000</v>
      </c>
      <c r="AQ6" s="530">
        <v>0</v>
      </c>
      <c r="AR6" s="530">
        <v>10000</v>
      </c>
      <c r="AS6" s="262">
        <f t="shared" ref="AS6:AS24" si="15">AR6-AQ6</f>
        <v>10000</v>
      </c>
      <c r="AT6" s="530">
        <v>0</v>
      </c>
      <c r="AU6" s="530">
        <v>10000</v>
      </c>
      <c r="AV6" s="262">
        <f t="shared" ref="AV6:AV24" si="16">AU6-AT6</f>
        <v>10000</v>
      </c>
      <c r="AW6" s="530">
        <v>0</v>
      </c>
      <c r="AX6" s="530">
        <v>10000</v>
      </c>
      <c r="AY6" s="262">
        <f t="shared" ref="AY6:AY24" si="17">AX6-AW6</f>
        <v>10000</v>
      </c>
      <c r="AZ6" s="530">
        <v>0</v>
      </c>
      <c r="BA6" s="530">
        <v>10000</v>
      </c>
      <c r="BB6" s="262">
        <f t="shared" ref="BB6:BB24" si="18">BA6-AZ6</f>
        <v>10000</v>
      </c>
      <c r="BC6" s="530">
        <v>0</v>
      </c>
      <c r="BD6" s="530">
        <v>10000</v>
      </c>
      <c r="BE6" s="262">
        <f t="shared" ref="BE6:BE24" si="19">BD6-BC6</f>
        <v>10000</v>
      </c>
      <c r="BF6" s="530">
        <v>0</v>
      </c>
      <c r="BG6" s="530">
        <v>10000</v>
      </c>
      <c r="BH6" s="262">
        <f t="shared" ref="BH6:BH24" si="20">BG6-BF6</f>
        <v>10000</v>
      </c>
      <c r="BI6" s="530">
        <v>0</v>
      </c>
      <c r="BJ6" s="530">
        <v>10000</v>
      </c>
      <c r="BK6" s="262">
        <f t="shared" ref="BK6:BK24" si="21">BJ6-BI6</f>
        <v>10000</v>
      </c>
      <c r="BL6" s="530">
        <v>0</v>
      </c>
      <c r="BM6" s="530">
        <v>10000</v>
      </c>
      <c r="BN6" s="262">
        <f t="shared" ref="BN6:BN24" si="22">BM6-BL6</f>
        <v>10000</v>
      </c>
      <c r="BO6" s="529"/>
      <c r="BP6" s="530"/>
      <c r="BQ6" s="262">
        <f t="shared" ref="BQ6:BQ24" si="23">BP6-BO6</f>
        <v>0</v>
      </c>
      <c r="BR6" s="258"/>
    </row>
    <row r="7" spans="1:70">
      <c r="A7" s="666"/>
      <c r="B7" s="670"/>
      <c r="C7" s="24" t="s">
        <v>27</v>
      </c>
      <c r="D7" s="259">
        <f t="shared" si="0"/>
        <v>0</v>
      </c>
      <c r="E7" s="260">
        <f t="shared" si="1"/>
        <v>210000</v>
      </c>
      <c r="F7" s="261">
        <f t="shared" si="2"/>
        <v>210000</v>
      </c>
      <c r="G7" s="529">
        <v>0</v>
      </c>
      <c r="H7" s="530">
        <v>10000</v>
      </c>
      <c r="I7" s="262">
        <f t="shared" si="3"/>
        <v>10000</v>
      </c>
      <c r="J7" s="530">
        <v>0</v>
      </c>
      <c r="K7" s="530">
        <v>10000</v>
      </c>
      <c r="L7" s="262">
        <f t="shared" si="4"/>
        <v>10000</v>
      </c>
      <c r="M7" s="530">
        <v>0</v>
      </c>
      <c r="N7" s="530">
        <v>10000</v>
      </c>
      <c r="O7" s="262">
        <f t="shared" si="5"/>
        <v>10000</v>
      </c>
      <c r="P7" s="530">
        <v>0</v>
      </c>
      <c r="Q7" s="530">
        <v>10000</v>
      </c>
      <c r="R7" s="262">
        <f t="shared" si="6"/>
        <v>10000</v>
      </c>
      <c r="S7" s="530">
        <v>0</v>
      </c>
      <c r="T7" s="530">
        <v>10000</v>
      </c>
      <c r="U7" s="262">
        <f t="shared" si="7"/>
        <v>10000</v>
      </c>
      <c r="V7" s="530">
        <v>0</v>
      </c>
      <c r="W7" s="530">
        <v>10000</v>
      </c>
      <c r="X7" s="262">
        <f t="shared" si="8"/>
        <v>10000</v>
      </c>
      <c r="Y7" s="530">
        <v>0</v>
      </c>
      <c r="Z7" s="530">
        <v>10000</v>
      </c>
      <c r="AA7" s="262">
        <f t="shared" si="9"/>
        <v>10000</v>
      </c>
      <c r="AB7" s="530">
        <v>0</v>
      </c>
      <c r="AC7" s="530">
        <v>10000</v>
      </c>
      <c r="AD7" s="262">
        <f t="shared" si="10"/>
        <v>10000</v>
      </c>
      <c r="AE7" s="530">
        <v>0</v>
      </c>
      <c r="AF7" s="530">
        <v>10000</v>
      </c>
      <c r="AG7" s="262">
        <f t="shared" si="11"/>
        <v>10000</v>
      </c>
      <c r="AH7" s="530">
        <v>0</v>
      </c>
      <c r="AI7" s="530">
        <v>10000</v>
      </c>
      <c r="AJ7" s="262">
        <f t="shared" si="12"/>
        <v>10000</v>
      </c>
      <c r="AK7" s="530">
        <v>0</v>
      </c>
      <c r="AL7" s="530">
        <v>10000</v>
      </c>
      <c r="AM7" s="262">
        <f t="shared" si="13"/>
        <v>10000</v>
      </c>
      <c r="AN7" s="530">
        <v>0</v>
      </c>
      <c r="AO7" s="530">
        <v>10000</v>
      </c>
      <c r="AP7" s="262">
        <f t="shared" si="14"/>
        <v>10000</v>
      </c>
      <c r="AQ7" s="530">
        <v>0</v>
      </c>
      <c r="AR7" s="530">
        <v>10000</v>
      </c>
      <c r="AS7" s="262">
        <f t="shared" si="15"/>
        <v>10000</v>
      </c>
      <c r="AT7" s="530">
        <v>0</v>
      </c>
      <c r="AU7" s="530">
        <v>10000</v>
      </c>
      <c r="AV7" s="262">
        <f t="shared" si="16"/>
        <v>10000</v>
      </c>
      <c r="AW7" s="530">
        <v>0</v>
      </c>
      <c r="AX7" s="530">
        <v>10000</v>
      </c>
      <c r="AY7" s="262">
        <f t="shared" si="17"/>
        <v>10000</v>
      </c>
      <c r="AZ7" s="530">
        <v>0</v>
      </c>
      <c r="BA7" s="530">
        <v>10000</v>
      </c>
      <c r="BB7" s="262">
        <f t="shared" si="18"/>
        <v>10000</v>
      </c>
      <c r="BC7" s="530">
        <v>0</v>
      </c>
      <c r="BD7" s="530">
        <v>10000</v>
      </c>
      <c r="BE7" s="262">
        <f t="shared" si="19"/>
        <v>10000</v>
      </c>
      <c r="BF7" s="530">
        <v>0</v>
      </c>
      <c r="BG7" s="530">
        <v>10000</v>
      </c>
      <c r="BH7" s="262">
        <f t="shared" si="20"/>
        <v>10000</v>
      </c>
      <c r="BI7" s="530">
        <v>0</v>
      </c>
      <c r="BJ7" s="530">
        <v>10000</v>
      </c>
      <c r="BK7" s="262">
        <f t="shared" si="21"/>
        <v>10000</v>
      </c>
      <c r="BL7" s="530">
        <v>0</v>
      </c>
      <c r="BM7" s="530">
        <v>10000</v>
      </c>
      <c r="BN7" s="262">
        <f t="shared" si="22"/>
        <v>10000</v>
      </c>
      <c r="BO7" s="529"/>
      <c r="BP7" s="530"/>
      <c r="BQ7" s="262">
        <f t="shared" si="23"/>
        <v>0</v>
      </c>
      <c r="BR7" s="258"/>
    </row>
    <row r="8" spans="1:70">
      <c r="A8" s="666"/>
      <c r="B8" s="670"/>
      <c r="C8" s="24" t="s">
        <v>28</v>
      </c>
      <c r="D8" s="259">
        <f t="shared" si="0"/>
        <v>0</v>
      </c>
      <c r="E8" s="260">
        <f t="shared" si="1"/>
        <v>210000</v>
      </c>
      <c r="F8" s="261">
        <f t="shared" si="2"/>
        <v>210000</v>
      </c>
      <c r="G8" s="529">
        <v>0</v>
      </c>
      <c r="H8" s="530">
        <v>10000</v>
      </c>
      <c r="I8" s="262">
        <f t="shared" si="3"/>
        <v>10000</v>
      </c>
      <c r="J8" s="530">
        <v>0</v>
      </c>
      <c r="K8" s="530">
        <v>10000</v>
      </c>
      <c r="L8" s="262">
        <f t="shared" si="4"/>
        <v>10000</v>
      </c>
      <c r="M8" s="530">
        <v>0</v>
      </c>
      <c r="N8" s="530">
        <v>10000</v>
      </c>
      <c r="O8" s="262">
        <f t="shared" si="5"/>
        <v>10000</v>
      </c>
      <c r="P8" s="530">
        <v>0</v>
      </c>
      <c r="Q8" s="530">
        <v>10000</v>
      </c>
      <c r="R8" s="262">
        <f t="shared" si="6"/>
        <v>10000</v>
      </c>
      <c r="S8" s="530">
        <v>0</v>
      </c>
      <c r="T8" s="530">
        <v>10000</v>
      </c>
      <c r="U8" s="262">
        <f t="shared" si="7"/>
        <v>10000</v>
      </c>
      <c r="V8" s="530">
        <v>0</v>
      </c>
      <c r="W8" s="530">
        <v>10000</v>
      </c>
      <c r="X8" s="262">
        <f t="shared" si="8"/>
        <v>10000</v>
      </c>
      <c r="Y8" s="530">
        <v>0</v>
      </c>
      <c r="Z8" s="530">
        <v>10000</v>
      </c>
      <c r="AA8" s="262">
        <f t="shared" si="9"/>
        <v>10000</v>
      </c>
      <c r="AB8" s="530">
        <v>0</v>
      </c>
      <c r="AC8" s="530">
        <v>10000</v>
      </c>
      <c r="AD8" s="262">
        <f t="shared" si="10"/>
        <v>10000</v>
      </c>
      <c r="AE8" s="530">
        <v>0</v>
      </c>
      <c r="AF8" s="530">
        <v>10000</v>
      </c>
      <c r="AG8" s="262">
        <f t="shared" si="11"/>
        <v>10000</v>
      </c>
      <c r="AH8" s="530">
        <v>0</v>
      </c>
      <c r="AI8" s="530">
        <v>10000</v>
      </c>
      <c r="AJ8" s="262">
        <f t="shared" si="12"/>
        <v>10000</v>
      </c>
      <c r="AK8" s="530">
        <v>0</v>
      </c>
      <c r="AL8" s="530">
        <v>10000</v>
      </c>
      <c r="AM8" s="262">
        <f t="shared" si="13"/>
        <v>10000</v>
      </c>
      <c r="AN8" s="530">
        <v>0</v>
      </c>
      <c r="AO8" s="530">
        <v>10000</v>
      </c>
      <c r="AP8" s="262">
        <f t="shared" si="14"/>
        <v>10000</v>
      </c>
      <c r="AQ8" s="530">
        <v>0</v>
      </c>
      <c r="AR8" s="530">
        <v>10000</v>
      </c>
      <c r="AS8" s="262">
        <f t="shared" si="15"/>
        <v>10000</v>
      </c>
      <c r="AT8" s="530">
        <v>0</v>
      </c>
      <c r="AU8" s="530">
        <v>10000</v>
      </c>
      <c r="AV8" s="262">
        <f t="shared" si="16"/>
        <v>10000</v>
      </c>
      <c r="AW8" s="530">
        <v>0</v>
      </c>
      <c r="AX8" s="530">
        <v>10000</v>
      </c>
      <c r="AY8" s="262">
        <f t="shared" si="17"/>
        <v>10000</v>
      </c>
      <c r="AZ8" s="530">
        <v>0</v>
      </c>
      <c r="BA8" s="530">
        <v>10000</v>
      </c>
      <c r="BB8" s="262">
        <f t="shared" si="18"/>
        <v>10000</v>
      </c>
      <c r="BC8" s="530">
        <v>0</v>
      </c>
      <c r="BD8" s="530">
        <v>10000</v>
      </c>
      <c r="BE8" s="262">
        <f t="shared" si="19"/>
        <v>10000</v>
      </c>
      <c r="BF8" s="530">
        <v>0</v>
      </c>
      <c r="BG8" s="530">
        <v>10000</v>
      </c>
      <c r="BH8" s="262">
        <f t="shared" si="20"/>
        <v>10000</v>
      </c>
      <c r="BI8" s="530">
        <v>0</v>
      </c>
      <c r="BJ8" s="530">
        <v>10000</v>
      </c>
      <c r="BK8" s="262">
        <f t="shared" si="21"/>
        <v>10000</v>
      </c>
      <c r="BL8" s="530">
        <v>0</v>
      </c>
      <c r="BM8" s="530">
        <v>10000</v>
      </c>
      <c r="BN8" s="262">
        <f t="shared" si="22"/>
        <v>10000</v>
      </c>
      <c r="BO8" s="529"/>
      <c r="BP8" s="530"/>
      <c r="BQ8" s="262">
        <f t="shared" si="23"/>
        <v>0</v>
      </c>
      <c r="BR8" s="258"/>
    </row>
    <row r="9" spans="1:70">
      <c r="A9" s="666"/>
      <c r="B9" s="670"/>
      <c r="C9" s="24" t="s">
        <v>29</v>
      </c>
      <c r="D9" s="259">
        <f t="shared" si="0"/>
        <v>0</v>
      </c>
      <c r="E9" s="260">
        <f t="shared" si="1"/>
        <v>210000</v>
      </c>
      <c r="F9" s="261">
        <f t="shared" si="2"/>
        <v>210000</v>
      </c>
      <c r="G9" s="529">
        <v>0</v>
      </c>
      <c r="H9" s="530">
        <v>10000</v>
      </c>
      <c r="I9" s="262">
        <f t="shared" si="3"/>
        <v>10000</v>
      </c>
      <c r="J9" s="530">
        <v>0</v>
      </c>
      <c r="K9" s="530">
        <v>10000</v>
      </c>
      <c r="L9" s="262">
        <f t="shared" si="4"/>
        <v>10000</v>
      </c>
      <c r="M9" s="530">
        <v>0</v>
      </c>
      <c r="N9" s="530">
        <v>10000</v>
      </c>
      <c r="O9" s="262">
        <f t="shared" si="5"/>
        <v>10000</v>
      </c>
      <c r="P9" s="530">
        <v>0</v>
      </c>
      <c r="Q9" s="530">
        <v>10000</v>
      </c>
      <c r="R9" s="262">
        <f t="shared" si="6"/>
        <v>10000</v>
      </c>
      <c r="S9" s="530">
        <v>0</v>
      </c>
      <c r="T9" s="530">
        <v>10000</v>
      </c>
      <c r="U9" s="262">
        <f t="shared" si="7"/>
        <v>10000</v>
      </c>
      <c r="V9" s="530">
        <v>0</v>
      </c>
      <c r="W9" s="530">
        <v>10000</v>
      </c>
      <c r="X9" s="262">
        <f t="shared" si="8"/>
        <v>10000</v>
      </c>
      <c r="Y9" s="530">
        <v>0</v>
      </c>
      <c r="Z9" s="530">
        <v>10000</v>
      </c>
      <c r="AA9" s="262">
        <f t="shared" si="9"/>
        <v>10000</v>
      </c>
      <c r="AB9" s="530">
        <v>0</v>
      </c>
      <c r="AC9" s="530">
        <v>10000</v>
      </c>
      <c r="AD9" s="262">
        <f t="shared" si="10"/>
        <v>10000</v>
      </c>
      <c r="AE9" s="530">
        <v>0</v>
      </c>
      <c r="AF9" s="530">
        <v>10000</v>
      </c>
      <c r="AG9" s="262">
        <f t="shared" si="11"/>
        <v>10000</v>
      </c>
      <c r="AH9" s="530">
        <v>0</v>
      </c>
      <c r="AI9" s="530">
        <v>10000</v>
      </c>
      <c r="AJ9" s="262">
        <f t="shared" si="12"/>
        <v>10000</v>
      </c>
      <c r="AK9" s="530">
        <v>0</v>
      </c>
      <c r="AL9" s="530">
        <v>10000</v>
      </c>
      <c r="AM9" s="262">
        <f t="shared" si="13"/>
        <v>10000</v>
      </c>
      <c r="AN9" s="530">
        <v>0</v>
      </c>
      <c r="AO9" s="530">
        <v>10000</v>
      </c>
      <c r="AP9" s="262">
        <f t="shared" si="14"/>
        <v>10000</v>
      </c>
      <c r="AQ9" s="530">
        <v>0</v>
      </c>
      <c r="AR9" s="530">
        <v>10000</v>
      </c>
      <c r="AS9" s="262">
        <f t="shared" si="15"/>
        <v>10000</v>
      </c>
      <c r="AT9" s="530">
        <v>0</v>
      </c>
      <c r="AU9" s="530">
        <v>10000</v>
      </c>
      <c r="AV9" s="262">
        <f t="shared" si="16"/>
        <v>10000</v>
      </c>
      <c r="AW9" s="530">
        <v>0</v>
      </c>
      <c r="AX9" s="530">
        <v>10000</v>
      </c>
      <c r="AY9" s="262">
        <f t="shared" si="17"/>
        <v>10000</v>
      </c>
      <c r="AZ9" s="530">
        <v>0</v>
      </c>
      <c r="BA9" s="530">
        <v>10000</v>
      </c>
      <c r="BB9" s="262">
        <f t="shared" si="18"/>
        <v>10000</v>
      </c>
      <c r="BC9" s="530">
        <v>0</v>
      </c>
      <c r="BD9" s="530">
        <v>10000</v>
      </c>
      <c r="BE9" s="262">
        <f t="shared" si="19"/>
        <v>10000</v>
      </c>
      <c r="BF9" s="530">
        <v>0</v>
      </c>
      <c r="BG9" s="530">
        <v>10000</v>
      </c>
      <c r="BH9" s="262">
        <f t="shared" si="20"/>
        <v>10000</v>
      </c>
      <c r="BI9" s="530">
        <v>0</v>
      </c>
      <c r="BJ9" s="530">
        <v>10000</v>
      </c>
      <c r="BK9" s="262">
        <f t="shared" si="21"/>
        <v>10000</v>
      </c>
      <c r="BL9" s="530">
        <v>0</v>
      </c>
      <c r="BM9" s="530">
        <v>10000</v>
      </c>
      <c r="BN9" s="262">
        <f t="shared" si="22"/>
        <v>10000</v>
      </c>
      <c r="BO9" s="529"/>
      <c r="BP9" s="530"/>
      <c r="BQ9" s="262">
        <f t="shared" si="23"/>
        <v>0</v>
      </c>
      <c r="BR9" s="258"/>
    </row>
    <row r="10" spans="1:70">
      <c r="A10" s="666"/>
      <c r="B10" s="670"/>
      <c r="C10" s="24" t="s">
        <v>30</v>
      </c>
      <c r="D10" s="259">
        <f t="shared" si="0"/>
        <v>0</v>
      </c>
      <c r="E10" s="260">
        <f t="shared" si="1"/>
        <v>210000</v>
      </c>
      <c r="F10" s="261">
        <f t="shared" si="2"/>
        <v>210000</v>
      </c>
      <c r="G10" s="529">
        <v>0</v>
      </c>
      <c r="H10" s="530">
        <v>10000</v>
      </c>
      <c r="I10" s="262">
        <f t="shared" si="3"/>
        <v>10000</v>
      </c>
      <c r="J10" s="530">
        <v>0</v>
      </c>
      <c r="K10" s="530">
        <v>10000</v>
      </c>
      <c r="L10" s="262">
        <f t="shared" si="4"/>
        <v>10000</v>
      </c>
      <c r="M10" s="530">
        <v>0</v>
      </c>
      <c r="N10" s="530">
        <v>10000</v>
      </c>
      <c r="O10" s="262">
        <f t="shared" si="5"/>
        <v>10000</v>
      </c>
      <c r="P10" s="530">
        <v>0</v>
      </c>
      <c r="Q10" s="530">
        <v>10000</v>
      </c>
      <c r="R10" s="262">
        <f t="shared" si="6"/>
        <v>10000</v>
      </c>
      <c r="S10" s="530">
        <v>0</v>
      </c>
      <c r="T10" s="530">
        <v>10000</v>
      </c>
      <c r="U10" s="262">
        <f t="shared" si="7"/>
        <v>10000</v>
      </c>
      <c r="V10" s="530">
        <v>0</v>
      </c>
      <c r="W10" s="530">
        <v>10000</v>
      </c>
      <c r="X10" s="262">
        <f t="shared" si="8"/>
        <v>10000</v>
      </c>
      <c r="Y10" s="530">
        <v>0</v>
      </c>
      <c r="Z10" s="530">
        <v>10000</v>
      </c>
      <c r="AA10" s="262">
        <f t="shared" si="9"/>
        <v>10000</v>
      </c>
      <c r="AB10" s="530">
        <v>0</v>
      </c>
      <c r="AC10" s="530">
        <v>10000</v>
      </c>
      <c r="AD10" s="262">
        <f t="shared" si="10"/>
        <v>10000</v>
      </c>
      <c r="AE10" s="530">
        <v>0</v>
      </c>
      <c r="AF10" s="530">
        <v>10000</v>
      </c>
      <c r="AG10" s="262">
        <f t="shared" si="11"/>
        <v>10000</v>
      </c>
      <c r="AH10" s="530">
        <v>0</v>
      </c>
      <c r="AI10" s="530">
        <v>10000</v>
      </c>
      <c r="AJ10" s="262">
        <f t="shared" si="12"/>
        <v>10000</v>
      </c>
      <c r="AK10" s="530">
        <v>0</v>
      </c>
      <c r="AL10" s="530">
        <v>10000</v>
      </c>
      <c r="AM10" s="262">
        <f t="shared" si="13"/>
        <v>10000</v>
      </c>
      <c r="AN10" s="530">
        <v>0</v>
      </c>
      <c r="AO10" s="530">
        <v>10000</v>
      </c>
      <c r="AP10" s="262">
        <f t="shared" si="14"/>
        <v>10000</v>
      </c>
      <c r="AQ10" s="530">
        <v>0</v>
      </c>
      <c r="AR10" s="530">
        <v>10000</v>
      </c>
      <c r="AS10" s="262">
        <f t="shared" si="15"/>
        <v>10000</v>
      </c>
      <c r="AT10" s="530">
        <v>0</v>
      </c>
      <c r="AU10" s="530">
        <v>10000</v>
      </c>
      <c r="AV10" s="262">
        <f t="shared" si="16"/>
        <v>10000</v>
      </c>
      <c r="AW10" s="530">
        <v>0</v>
      </c>
      <c r="AX10" s="530">
        <v>10000</v>
      </c>
      <c r="AY10" s="262">
        <f t="shared" si="17"/>
        <v>10000</v>
      </c>
      <c r="AZ10" s="530">
        <v>0</v>
      </c>
      <c r="BA10" s="530">
        <v>10000</v>
      </c>
      <c r="BB10" s="262">
        <f t="shared" si="18"/>
        <v>10000</v>
      </c>
      <c r="BC10" s="530">
        <v>0</v>
      </c>
      <c r="BD10" s="530">
        <v>10000</v>
      </c>
      <c r="BE10" s="262">
        <f t="shared" si="19"/>
        <v>10000</v>
      </c>
      <c r="BF10" s="530">
        <v>0</v>
      </c>
      <c r="BG10" s="530">
        <v>10000</v>
      </c>
      <c r="BH10" s="262">
        <f t="shared" si="20"/>
        <v>10000</v>
      </c>
      <c r="BI10" s="530">
        <v>0</v>
      </c>
      <c r="BJ10" s="530">
        <v>10000</v>
      </c>
      <c r="BK10" s="262">
        <f t="shared" si="21"/>
        <v>10000</v>
      </c>
      <c r="BL10" s="530">
        <v>0</v>
      </c>
      <c r="BM10" s="530">
        <v>10000</v>
      </c>
      <c r="BN10" s="262">
        <f t="shared" si="22"/>
        <v>10000</v>
      </c>
      <c r="BO10" s="529"/>
      <c r="BP10" s="530"/>
      <c r="BQ10" s="262">
        <f t="shared" si="23"/>
        <v>0</v>
      </c>
      <c r="BR10" s="258"/>
    </row>
    <row r="11" spans="1:70">
      <c r="A11" s="666"/>
      <c r="B11" s="670"/>
      <c r="C11" s="24" t="s">
        <v>31</v>
      </c>
      <c r="D11" s="259">
        <f t="shared" si="0"/>
        <v>0</v>
      </c>
      <c r="E11" s="260">
        <f t="shared" si="1"/>
        <v>210000</v>
      </c>
      <c r="F11" s="261">
        <f t="shared" si="2"/>
        <v>210000</v>
      </c>
      <c r="G11" s="529">
        <v>0</v>
      </c>
      <c r="H11" s="530">
        <v>10000</v>
      </c>
      <c r="I11" s="262">
        <f t="shared" si="3"/>
        <v>10000</v>
      </c>
      <c r="J11" s="530">
        <v>0</v>
      </c>
      <c r="K11" s="530">
        <v>10000</v>
      </c>
      <c r="L11" s="262">
        <f t="shared" si="4"/>
        <v>10000</v>
      </c>
      <c r="M11" s="530">
        <v>0</v>
      </c>
      <c r="N11" s="530">
        <v>10000</v>
      </c>
      <c r="O11" s="262">
        <f t="shared" si="5"/>
        <v>10000</v>
      </c>
      <c r="P11" s="530">
        <v>0</v>
      </c>
      <c r="Q11" s="530">
        <v>10000</v>
      </c>
      <c r="R11" s="262">
        <f t="shared" si="6"/>
        <v>10000</v>
      </c>
      <c r="S11" s="530">
        <v>0</v>
      </c>
      <c r="T11" s="530">
        <v>10000</v>
      </c>
      <c r="U11" s="262">
        <f t="shared" si="7"/>
        <v>10000</v>
      </c>
      <c r="V11" s="530">
        <v>0</v>
      </c>
      <c r="W11" s="530">
        <v>10000</v>
      </c>
      <c r="X11" s="262">
        <f t="shared" si="8"/>
        <v>10000</v>
      </c>
      <c r="Y11" s="530">
        <v>0</v>
      </c>
      <c r="Z11" s="530">
        <v>10000</v>
      </c>
      <c r="AA11" s="262">
        <f t="shared" si="9"/>
        <v>10000</v>
      </c>
      <c r="AB11" s="530">
        <v>0</v>
      </c>
      <c r="AC11" s="530">
        <v>10000</v>
      </c>
      <c r="AD11" s="262">
        <f t="shared" si="10"/>
        <v>10000</v>
      </c>
      <c r="AE11" s="530">
        <v>0</v>
      </c>
      <c r="AF11" s="530">
        <v>10000</v>
      </c>
      <c r="AG11" s="262">
        <f t="shared" si="11"/>
        <v>10000</v>
      </c>
      <c r="AH11" s="530">
        <v>0</v>
      </c>
      <c r="AI11" s="530">
        <v>10000</v>
      </c>
      <c r="AJ11" s="262">
        <f t="shared" si="12"/>
        <v>10000</v>
      </c>
      <c r="AK11" s="530">
        <v>0</v>
      </c>
      <c r="AL11" s="530">
        <v>10000</v>
      </c>
      <c r="AM11" s="262">
        <f t="shared" si="13"/>
        <v>10000</v>
      </c>
      <c r="AN11" s="530">
        <v>0</v>
      </c>
      <c r="AO11" s="530">
        <v>10000</v>
      </c>
      <c r="AP11" s="262">
        <f t="shared" si="14"/>
        <v>10000</v>
      </c>
      <c r="AQ11" s="530">
        <v>0</v>
      </c>
      <c r="AR11" s="530">
        <v>10000</v>
      </c>
      <c r="AS11" s="262">
        <f t="shared" si="15"/>
        <v>10000</v>
      </c>
      <c r="AT11" s="530">
        <v>0</v>
      </c>
      <c r="AU11" s="530">
        <v>10000</v>
      </c>
      <c r="AV11" s="262">
        <f t="shared" si="16"/>
        <v>10000</v>
      </c>
      <c r="AW11" s="530">
        <v>0</v>
      </c>
      <c r="AX11" s="530">
        <v>10000</v>
      </c>
      <c r="AY11" s="262">
        <f t="shared" si="17"/>
        <v>10000</v>
      </c>
      <c r="AZ11" s="530">
        <v>0</v>
      </c>
      <c r="BA11" s="530">
        <v>10000</v>
      </c>
      <c r="BB11" s="262">
        <f t="shared" si="18"/>
        <v>10000</v>
      </c>
      <c r="BC11" s="530">
        <v>0</v>
      </c>
      <c r="BD11" s="530">
        <v>10000</v>
      </c>
      <c r="BE11" s="262">
        <f t="shared" si="19"/>
        <v>10000</v>
      </c>
      <c r="BF11" s="530">
        <v>0</v>
      </c>
      <c r="BG11" s="530">
        <v>10000</v>
      </c>
      <c r="BH11" s="262">
        <f t="shared" si="20"/>
        <v>10000</v>
      </c>
      <c r="BI11" s="530">
        <v>0</v>
      </c>
      <c r="BJ11" s="530">
        <v>10000</v>
      </c>
      <c r="BK11" s="262">
        <f t="shared" si="21"/>
        <v>10000</v>
      </c>
      <c r="BL11" s="530">
        <v>0</v>
      </c>
      <c r="BM11" s="530">
        <v>10000</v>
      </c>
      <c r="BN11" s="262">
        <f t="shared" si="22"/>
        <v>10000</v>
      </c>
      <c r="BO11" s="529"/>
      <c r="BP11" s="530"/>
      <c r="BQ11" s="262">
        <f t="shared" si="23"/>
        <v>0</v>
      </c>
      <c r="BR11" s="258"/>
    </row>
    <row r="12" spans="1:70">
      <c r="A12" s="666"/>
      <c r="B12" s="670"/>
      <c r="C12" s="24" t="s">
        <v>32</v>
      </c>
      <c r="D12" s="259">
        <f t="shared" si="0"/>
        <v>0</v>
      </c>
      <c r="E12" s="260">
        <f t="shared" si="1"/>
        <v>210000</v>
      </c>
      <c r="F12" s="261">
        <f t="shared" si="2"/>
        <v>210000</v>
      </c>
      <c r="G12" s="529">
        <v>0</v>
      </c>
      <c r="H12" s="530">
        <v>10000</v>
      </c>
      <c r="I12" s="262">
        <f t="shared" si="3"/>
        <v>10000</v>
      </c>
      <c r="J12" s="530">
        <v>0</v>
      </c>
      <c r="K12" s="530">
        <v>10000</v>
      </c>
      <c r="L12" s="262">
        <f t="shared" si="4"/>
        <v>10000</v>
      </c>
      <c r="M12" s="530">
        <v>0</v>
      </c>
      <c r="N12" s="530">
        <v>10000</v>
      </c>
      <c r="O12" s="262">
        <f t="shared" si="5"/>
        <v>10000</v>
      </c>
      <c r="P12" s="530">
        <v>0</v>
      </c>
      <c r="Q12" s="530">
        <v>10000</v>
      </c>
      <c r="R12" s="262">
        <f t="shared" si="6"/>
        <v>10000</v>
      </c>
      <c r="S12" s="530">
        <v>0</v>
      </c>
      <c r="T12" s="530">
        <v>10000</v>
      </c>
      <c r="U12" s="262">
        <f t="shared" si="7"/>
        <v>10000</v>
      </c>
      <c r="V12" s="530">
        <v>0</v>
      </c>
      <c r="W12" s="530">
        <v>10000</v>
      </c>
      <c r="X12" s="262">
        <f t="shared" si="8"/>
        <v>10000</v>
      </c>
      <c r="Y12" s="530">
        <v>0</v>
      </c>
      <c r="Z12" s="530">
        <v>10000</v>
      </c>
      <c r="AA12" s="262">
        <f t="shared" si="9"/>
        <v>10000</v>
      </c>
      <c r="AB12" s="530">
        <v>0</v>
      </c>
      <c r="AC12" s="530">
        <v>10000</v>
      </c>
      <c r="AD12" s="262">
        <f t="shared" si="10"/>
        <v>10000</v>
      </c>
      <c r="AE12" s="530">
        <v>0</v>
      </c>
      <c r="AF12" s="530">
        <v>10000</v>
      </c>
      <c r="AG12" s="262">
        <f t="shared" si="11"/>
        <v>10000</v>
      </c>
      <c r="AH12" s="530">
        <v>0</v>
      </c>
      <c r="AI12" s="530">
        <v>10000</v>
      </c>
      <c r="AJ12" s="262">
        <f t="shared" si="12"/>
        <v>10000</v>
      </c>
      <c r="AK12" s="530">
        <v>0</v>
      </c>
      <c r="AL12" s="530">
        <v>10000</v>
      </c>
      <c r="AM12" s="262">
        <f t="shared" si="13"/>
        <v>10000</v>
      </c>
      <c r="AN12" s="530">
        <v>0</v>
      </c>
      <c r="AO12" s="530">
        <v>10000</v>
      </c>
      <c r="AP12" s="262">
        <f t="shared" si="14"/>
        <v>10000</v>
      </c>
      <c r="AQ12" s="530">
        <v>0</v>
      </c>
      <c r="AR12" s="530">
        <v>10000</v>
      </c>
      <c r="AS12" s="262">
        <f t="shared" si="15"/>
        <v>10000</v>
      </c>
      <c r="AT12" s="530">
        <v>0</v>
      </c>
      <c r="AU12" s="530">
        <v>10000</v>
      </c>
      <c r="AV12" s="262">
        <f t="shared" si="16"/>
        <v>10000</v>
      </c>
      <c r="AW12" s="530">
        <v>0</v>
      </c>
      <c r="AX12" s="530">
        <v>10000</v>
      </c>
      <c r="AY12" s="262">
        <f t="shared" si="17"/>
        <v>10000</v>
      </c>
      <c r="AZ12" s="530">
        <v>0</v>
      </c>
      <c r="BA12" s="530">
        <v>10000</v>
      </c>
      <c r="BB12" s="262">
        <f t="shared" si="18"/>
        <v>10000</v>
      </c>
      <c r="BC12" s="530">
        <v>0</v>
      </c>
      <c r="BD12" s="530">
        <v>10000</v>
      </c>
      <c r="BE12" s="262">
        <f t="shared" si="19"/>
        <v>10000</v>
      </c>
      <c r="BF12" s="530">
        <v>0</v>
      </c>
      <c r="BG12" s="530">
        <v>10000</v>
      </c>
      <c r="BH12" s="262">
        <f t="shared" si="20"/>
        <v>10000</v>
      </c>
      <c r="BI12" s="530">
        <v>0</v>
      </c>
      <c r="BJ12" s="530">
        <v>10000</v>
      </c>
      <c r="BK12" s="262">
        <f t="shared" si="21"/>
        <v>10000</v>
      </c>
      <c r="BL12" s="530">
        <v>0</v>
      </c>
      <c r="BM12" s="530">
        <v>10000</v>
      </c>
      <c r="BN12" s="262">
        <f t="shared" si="22"/>
        <v>10000</v>
      </c>
      <c r="BO12" s="529"/>
      <c r="BP12" s="530"/>
      <c r="BQ12" s="262">
        <f t="shared" si="23"/>
        <v>0</v>
      </c>
      <c r="BR12" s="258"/>
    </row>
    <row r="13" spans="1:70">
      <c r="A13" s="666"/>
      <c r="B13" s="670"/>
      <c r="C13" s="24" t="s">
        <v>33</v>
      </c>
      <c r="D13" s="259">
        <f t="shared" si="0"/>
        <v>0</v>
      </c>
      <c r="E13" s="260">
        <f t="shared" si="1"/>
        <v>210000</v>
      </c>
      <c r="F13" s="261">
        <f t="shared" si="2"/>
        <v>210000</v>
      </c>
      <c r="G13" s="529">
        <v>0</v>
      </c>
      <c r="H13" s="530">
        <v>10000</v>
      </c>
      <c r="I13" s="262">
        <f t="shared" si="3"/>
        <v>10000</v>
      </c>
      <c r="J13" s="530">
        <v>0</v>
      </c>
      <c r="K13" s="530">
        <v>10000</v>
      </c>
      <c r="L13" s="262">
        <f t="shared" si="4"/>
        <v>10000</v>
      </c>
      <c r="M13" s="530">
        <v>0</v>
      </c>
      <c r="N13" s="530">
        <v>10000</v>
      </c>
      <c r="O13" s="262">
        <f t="shared" si="5"/>
        <v>10000</v>
      </c>
      <c r="P13" s="530">
        <v>0</v>
      </c>
      <c r="Q13" s="530">
        <v>10000</v>
      </c>
      <c r="R13" s="262">
        <f t="shared" si="6"/>
        <v>10000</v>
      </c>
      <c r="S13" s="530">
        <v>0</v>
      </c>
      <c r="T13" s="530">
        <v>10000</v>
      </c>
      <c r="U13" s="262">
        <f t="shared" si="7"/>
        <v>10000</v>
      </c>
      <c r="V13" s="530">
        <v>0</v>
      </c>
      <c r="W13" s="530">
        <v>10000</v>
      </c>
      <c r="X13" s="262">
        <f t="shared" si="8"/>
        <v>10000</v>
      </c>
      <c r="Y13" s="530">
        <v>0</v>
      </c>
      <c r="Z13" s="530">
        <v>10000</v>
      </c>
      <c r="AA13" s="262">
        <f t="shared" si="9"/>
        <v>10000</v>
      </c>
      <c r="AB13" s="530">
        <v>0</v>
      </c>
      <c r="AC13" s="530">
        <v>10000</v>
      </c>
      <c r="AD13" s="262">
        <f t="shared" si="10"/>
        <v>10000</v>
      </c>
      <c r="AE13" s="530">
        <v>0</v>
      </c>
      <c r="AF13" s="530">
        <v>10000</v>
      </c>
      <c r="AG13" s="262">
        <f t="shared" si="11"/>
        <v>10000</v>
      </c>
      <c r="AH13" s="530">
        <v>0</v>
      </c>
      <c r="AI13" s="530">
        <v>10000</v>
      </c>
      <c r="AJ13" s="262">
        <f t="shared" si="12"/>
        <v>10000</v>
      </c>
      <c r="AK13" s="530">
        <v>0</v>
      </c>
      <c r="AL13" s="530">
        <v>10000</v>
      </c>
      <c r="AM13" s="262">
        <f t="shared" si="13"/>
        <v>10000</v>
      </c>
      <c r="AN13" s="530">
        <v>0</v>
      </c>
      <c r="AO13" s="530">
        <v>10000</v>
      </c>
      <c r="AP13" s="262">
        <f t="shared" si="14"/>
        <v>10000</v>
      </c>
      <c r="AQ13" s="530">
        <v>0</v>
      </c>
      <c r="AR13" s="530">
        <v>10000</v>
      </c>
      <c r="AS13" s="262">
        <f t="shared" si="15"/>
        <v>10000</v>
      </c>
      <c r="AT13" s="530">
        <v>0</v>
      </c>
      <c r="AU13" s="530">
        <v>10000</v>
      </c>
      <c r="AV13" s="262">
        <f t="shared" si="16"/>
        <v>10000</v>
      </c>
      <c r="AW13" s="530">
        <v>0</v>
      </c>
      <c r="AX13" s="530">
        <v>10000</v>
      </c>
      <c r="AY13" s="262">
        <f t="shared" si="17"/>
        <v>10000</v>
      </c>
      <c r="AZ13" s="530">
        <v>0</v>
      </c>
      <c r="BA13" s="530">
        <v>10000</v>
      </c>
      <c r="BB13" s="262">
        <f t="shared" si="18"/>
        <v>10000</v>
      </c>
      <c r="BC13" s="530">
        <v>0</v>
      </c>
      <c r="BD13" s="530">
        <v>10000</v>
      </c>
      <c r="BE13" s="262">
        <f t="shared" si="19"/>
        <v>10000</v>
      </c>
      <c r="BF13" s="530">
        <v>0</v>
      </c>
      <c r="BG13" s="530">
        <v>10000</v>
      </c>
      <c r="BH13" s="262">
        <f t="shared" si="20"/>
        <v>10000</v>
      </c>
      <c r="BI13" s="530">
        <v>0</v>
      </c>
      <c r="BJ13" s="530">
        <v>10000</v>
      </c>
      <c r="BK13" s="262">
        <f t="shared" si="21"/>
        <v>10000</v>
      </c>
      <c r="BL13" s="530">
        <v>0</v>
      </c>
      <c r="BM13" s="530">
        <v>10000</v>
      </c>
      <c r="BN13" s="262">
        <f t="shared" si="22"/>
        <v>10000</v>
      </c>
      <c r="BO13" s="529"/>
      <c r="BP13" s="530"/>
      <c r="BQ13" s="262">
        <f t="shared" si="23"/>
        <v>0</v>
      </c>
      <c r="BR13" s="258"/>
    </row>
    <row r="14" spans="1:70" ht="15.75" thickBot="1">
      <c r="A14" s="667"/>
      <c r="B14" s="671"/>
      <c r="C14" s="263" t="s">
        <v>34</v>
      </c>
      <c r="D14" s="264">
        <f t="shared" si="0"/>
        <v>0</v>
      </c>
      <c r="E14" s="265">
        <f t="shared" si="1"/>
        <v>210000</v>
      </c>
      <c r="F14" s="266">
        <f t="shared" si="2"/>
        <v>210000</v>
      </c>
      <c r="G14" s="531">
        <v>0</v>
      </c>
      <c r="H14" s="532">
        <v>10000</v>
      </c>
      <c r="I14" s="267">
        <f t="shared" si="3"/>
        <v>10000</v>
      </c>
      <c r="J14" s="532">
        <v>0</v>
      </c>
      <c r="K14" s="532">
        <v>10000</v>
      </c>
      <c r="L14" s="267">
        <f t="shared" si="4"/>
        <v>10000</v>
      </c>
      <c r="M14" s="532">
        <v>0</v>
      </c>
      <c r="N14" s="532">
        <v>10000</v>
      </c>
      <c r="O14" s="267">
        <f t="shared" si="5"/>
        <v>10000</v>
      </c>
      <c r="P14" s="532">
        <v>0</v>
      </c>
      <c r="Q14" s="532">
        <v>10000</v>
      </c>
      <c r="R14" s="267">
        <f t="shared" si="6"/>
        <v>10000</v>
      </c>
      <c r="S14" s="532">
        <v>0</v>
      </c>
      <c r="T14" s="532">
        <v>10000</v>
      </c>
      <c r="U14" s="267">
        <f t="shared" si="7"/>
        <v>10000</v>
      </c>
      <c r="V14" s="532">
        <v>0</v>
      </c>
      <c r="W14" s="532">
        <v>10000</v>
      </c>
      <c r="X14" s="267">
        <f t="shared" si="8"/>
        <v>10000</v>
      </c>
      <c r="Y14" s="532">
        <v>0</v>
      </c>
      <c r="Z14" s="532">
        <v>10000</v>
      </c>
      <c r="AA14" s="267">
        <f t="shared" si="9"/>
        <v>10000</v>
      </c>
      <c r="AB14" s="532">
        <v>0</v>
      </c>
      <c r="AC14" s="532">
        <v>10000</v>
      </c>
      <c r="AD14" s="267">
        <f t="shared" si="10"/>
        <v>10000</v>
      </c>
      <c r="AE14" s="532">
        <v>0</v>
      </c>
      <c r="AF14" s="532">
        <v>10000</v>
      </c>
      <c r="AG14" s="267">
        <f t="shared" si="11"/>
        <v>10000</v>
      </c>
      <c r="AH14" s="532">
        <v>0</v>
      </c>
      <c r="AI14" s="532">
        <v>10000</v>
      </c>
      <c r="AJ14" s="267">
        <f t="shared" si="12"/>
        <v>10000</v>
      </c>
      <c r="AK14" s="532">
        <v>0</v>
      </c>
      <c r="AL14" s="532">
        <v>10000</v>
      </c>
      <c r="AM14" s="267">
        <f t="shared" si="13"/>
        <v>10000</v>
      </c>
      <c r="AN14" s="532">
        <v>0</v>
      </c>
      <c r="AO14" s="532">
        <v>10000</v>
      </c>
      <c r="AP14" s="267">
        <f t="shared" si="14"/>
        <v>10000</v>
      </c>
      <c r="AQ14" s="532">
        <v>0</v>
      </c>
      <c r="AR14" s="532">
        <v>10000</v>
      </c>
      <c r="AS14" s="267">
        <f t="shared" si="15"/>
        <v>10000</v>
      </c>
      <c r="AT14" s="532">
        <v>0</v>
      </c>
      <c r="AU14" s="532">
        <v>10000</v>
      </c>
      <c r="AV14" s="267">
        <f t="shared" si="16"/>
        <v>10000</v>
      </c>
      <c r="AW14" s="532">
        <v>0</v>
      </c>
      <c r="AX14" s="532">
        <v>10000</v>
      </c>
      <c r="AY14" s="267">
        <f t="shared" si="17"/>
        <v>10000</v>
      </c>
      <c r="AZ14" s="532">
        <v>0</v>
      </c>
      <c r="BA14" s="532">
        <v>10000</v>
      </c>
      <c r="BB14" s="267">
        <f t="shared" si="18"/>
        <v>10000</v>
      </c>
      <c r="BC14" s="532">
        <v>0</v>
      </c>
      <c r="BD14" s="532">
        <v>10000</v>
      </c>
      <c r="BE14" s="267">
        <f t="shared" si="19"/>
        <v>10000</v>
      </c>
      <c r="BF14" s="532">
        <v>0</v>
      </c>
      <c r="BG14" s="532">
        <v>10000</v>
      </c>
      <c r="BH14" s="267">
        <f t="shared" si="20"/>
        <v>10000</v>
      </c>
      <c r="BI14" s="532">
        <v>0</v>
      </c>
      <c r="BJ14" s="532">
        <v>10000</v>
      </c>
      <c r="BK14" s="267">
        <f t="shared" si="21"/>
        <v>10000</v>
      </c>
      <c r="BL14" s="532">
        <v>0</v>
      </c>
      <c r="BM14" s="532">
        <v>10000</v>
      </c>
      <c r="BN14" s="267">
        <f t="shared" si="22"/>
        <v>10000</v>
      </c>
      <c r="BO14" s="531"/>
      <c r="BP14" s="532"/>
      <c r="BQ14" s="267">
        <f t="shared" si="23"/>
        <v>0</v>
      </c>
      <c r="BR14" s="258"/>
    </row>
    <row r="15" spans="1:70">
      <c r="A15" s="665" t="s">
        <v>149</v>
      </c>
      <c r="B15" s="669" t="s">
        <v>13</v>
      </c>
      <c r="C15" s="251" t="s">
        <v>25</v>
      </c>
      <c r="D15" s="268"/>
      <c r="E15" s="269"/>
      <c r="F15" s="270"/>
      <c r="G15" s="533"/>
      <c r="H15" s="534"/>
      <c r="I15" s="271">
        <f t="shared" si="3"/>
        <v>0</v>
      </c>
      <c r="J15" s="533"/>
      <c r="K15" s="534"/>
      <c r="L15" s="271">
        <f t="shared" si="4"/>
        <v>0</v>
      </c>
      <c r="M15" s="533"/>
      <c r="N15" s="534"/>
      <c r="O15" s="271">
        <f t="shared" si="5"/>
        <v>0</v>
      </c>
      <c r="P15" s="533"/>
      <c r="Q15" s="534"/>
      <c r="R15" s="271">
        <f t="shared" si="6"/>
        <v>0</v>
      </c>
      <c r="S15" s="533"/>
      <c r="T15" s="534"/>
      <c r="U15" s="271">
        <f t="shared" si="7"/>
        <v>0</v>
      </c>
      <c r="V15" s="533"/>
      <c r="W15" s="534"/>
      <c r="X15" s="271">
        <f t="shared" si="8"/>
        <v>0</v>
      </c>
      <c r="Y15" s="533"/>
      <c r="Z15" s="534"/>
      <c r="AA15" s="271">
        <f t="shared" si="9"/>
        <v>0</v>
      </c>
      <c r="AB15" s="533"/>
      <c r="AC15" s="534"/>
      <c r="AD15" s="271">
        <f t="shared" si="10"/>
        <v>0</v>
      </c>
      <c r="AE15" s="533"/>
      <c r="AF15" s="534"/>
      <c r="AG15" s="271">
        <f t="shared" si="11"/>
        <v>0</v>
      </c>
      <c r="AH15" s="533"/>
      <c r="AI15" s="534"/>
      <c r="AJ15" s="271">
        <f t="shared" si="12"/>
        <v>0</v>
      </c>
      <c r="AK15" s="533"/>
      <c r="AL15" s="534"/>
      <c r="AM15" s="271">
        <f t="shared" si="13"/>
        <v>0</v>
      </c>
      <c r="AN15" s="533"/>
      <c r="AO15" s="534"/>
      <c r="AP15" s="271">
        <f t="shared" si="14"/>
        <v>0</v>
      </c>
      <c r="AQ15" s="533"/>
      <c r="AR15" s="534"/>
      <c r="AS15" s="271">
        <f t="shared" si="15"/>
        <v>0</v>
      </c>
      <c r="AT15" s="533"/>
      <c r="AU15" s="534"/>
      <c r="AV15" s="271">
        <f t="shared" si="16"/>
        <v>0</v>
      </c>
      <c r="AW15" s="533"/>
      <c r="AX15" s="534"/>
      <c r="AY15" s="271">
        <f t="shared" si="17"/>
        <v>0</v>
      </c>
      <c r="AZ15" s="533"/>
      <c r="BA15" s="534"/>
      <c r="BB15" s="271">
        <f t="shared" si="18"/>
        <v>0</v>
      </c>
      <c r="BC15" s="533"/>
      <c r="BD15" s="534"/>
      <c r="BE15" s="271">
        <f t="shared" si="19"/>
        <v>0</v>
      </c>
      <c r="BF15" s="533"/>
      <c r="BG15" s="534"/>
      <c r="BH15" s="271">
        <f t="shared" si="20"/>
        <v>0</v>
      </c>
      <c r="BI15" s="533"/>
      <c r="BJ15" s="534"/>
      <c r="BK15" s="271">
        <f t="shared" si="21"/>
        <v>0</v>
      </c>
      <c r="BL15" s="533"/>
      <c r="BM15" s="534"/>
      <c r="BN15" s="271">
        <f t="shared" si="22"/>
        <v>0</v>
      </c>
      <c r="BO15" s="533"/>
      <c r="BP15" s="534"/>
      <c r="BQ15" s="271">
        <f t="shared" si="23"/>
        <v>0</v>
      </c>
      <c r="BR15" s="258"/>
    </row>
    <row r="16" spans="1:70">
      <c r="A16" s="666"/>
      <c r="B16" s="670"/>
      <c r="C16" s="24" t="s">
        <v>26</v>
      </c>
      <c r="D16" s="272"/>
      <c r="E16" s="273"/>
      <c r="F16" s="274"/>
      <c r="G16" s="535"/>
      <c r="H16" s="536"/>
      <c r="I16" s="275">
        <f t="shared" si="3"/>
        <v>0</v>
      </c>
      <c r="J16" s="535"/>
      <c r="K16" s="536"/>
      <c r="L16" s="275">
        <f t="shared" si="4"/>
        <v>0</v>
      </c>
      <c r="M16" s="535"/>
      <c r="N16" s="536"/>
      <c r="O16" s="275">
        <f t="shared" si="5"/>
        <v>0</v>
      </c>
      <c r="P16" s="535"/>
      <c r="Q16" s="536"/>
      <c r="R16" s="275">
        <f t="shared" si="6"/>
        <v>0</v>
      </c>
      <c r="S16" s="535"/>
      <c r="T16" s="536"/>
      <c r="U16" s="275">
        <f t="shared" si="7"/>
        <v>0</v>
      </c>
      <c r="V16" s="535"/>
      <c r="W16" s="536"/>
      <c r="X16" s="275">
        <f t="shared" si="8"/>
        <v>0</v>
      </c>
      <c r="Y16" s="535"/>
      <c r="Z16" s="536"/>
      <c r="AA16" s="275">
        <f t="shared" si="9"/>
        <v>0</v>
      </c>
      <c r="AB16" s="535"/>
      <c r="AC16" s="536"/>
      <c r="AD16" s="275">
        <f t="shared" si="10"/>
        <v>0</v>
      </c>
      <c r="AE16" s="535"/>
      <c r="AF16" s="536"/>
      <c r="AG16" s="275">
        <f t="shared" si="11"/>
        <v>0</v>
      </c>
      <c r="AH16" s="535"/>
      <c r="AI16" s="536"/>
      <c r="AJ16" s="275">
        <f t="shared" si="12"/>
        <v>0</v>
      </c>
      <c r="AK16" s="535"/>
      <c r="AL16" s="536"/>
      <c r="AM16" s="275">
        <f t="shared" si="13"/>
        <v>0</v>
      </c>
      <c r="AN16" s="535"/>
      <c r="AO16" s="536"/>
      <c r="AP16" s="275">
        <f t="shared" si="14"/>
        <v>0</v>
      </c>
      <c r="AQ16" s="535"/>
      <c r="AR16" s="536"/>
      <c r="AS16" s="275">
        <f t="shared" si="15"/>
        <v>0</v>
      </c>
      <c r="AT16" s="535"/>
      <c r="AU16" s="536"/>
      <c r="AV16" s="275">
        <f t="shared" si="16"/>
        <v>0</v>
      </c>
      <c r="AW16" s="535"/>
      <c r="AX16" s="536"/>
      <c r="AY16" s="275">
        <f t="shared" si="17"/>
        <v>0</v>
      </c>
      <c r="AZ16" s="535"/>
      <c r="BA16" s="536"/>
      <c r="BB16" s="275">
        <f t="shared" si="18"/>
        <v>0</v>
      </c>
      <c r="BC16" s="535"/>
      <c r="BD16" s="536"/>
      <c r="BE16" s="275">
        <f t="shared" si="19"/>
        <v>0</v>
      </c>
      <c r="BF16" s="535"/>
      <c r="BG16" s="536"/>
      <c r="BH16" s="275">
        <f t="shared" si="20"/>
        <v>0</v>
      </c>
      <c r="BI16" s="535"/>
      <c r="BJ16" s="536"/>
      <c r="BK16" s="275">
        <f t="shared" si="21"/>
        <v>0</v>
      </c>
      <c r="BL16" s="535"/>
      <c r="BM16" s="536"/>
      <c r="BN16" s="275">
        <f t="shared" si="22"/>
        <v>0</v>
      </c>
      <c r="BO16" s="535"/>
      <c r="BP16" s="536"/>
      <c r="BQ16" s="275">
        <f t="shared" si="23"/>
        <v>0</v>
      </c>
      <c r="BR16" s="258"/>
    </row>
    <row r="17" spans="1:70">
      <c r="A17" s="666"/>
      <c r="B17" s="670"/>
      <c r="C17" s="24" t="s">
        <v>27</v>
      </c>
      <c r="D17" s="272"/>
      <c r="E17" s="273"/>
      <c r="F17" s="274"/>
      <c r="G17" s="535"/>
      <c r="H17" s="536"/>
      <c r="I17" s="275">
        <f t="shared" si="3"/>
        <v>0</v>
      </c>
      <c r="J17" s="535"/>
      <c r="K17" s="536"/>
      <c r="L17" s="275">
        <f t="shared" si="4"/>
        <v>0</v>
      </c>
      <c r="M17" s="535"/>
      <c r="N17" s="536"/>
      <c r="O17" s="275">
        <f t="shared" si="5"/>
        <v>0</v>
      </c>
      <c r="P17" s="535"/>
      <c r="Q17" s="536"/>
      <c r="R17" s="275">
        <f t="shared" si="6"/>
        <v>0</v>
      </c>
      <c r="S17" s="535"/>
      <c r="T17" s="536"/>
      <c r="U17" s="275">
        <f t="shared" si="7"/>
        <v>0</v>
      </c>
      <c r="V17" s="535"/>
      <c r="W17" s="536"/>
      <c r="X17" s="275">
        <f t="shared" si="8"/>
        <v>0</v>
      </c>
      <c r="Y17" s="535"/>
      <c r="Z17" s="536"/>
      <c r="AA17" s="275">
        <f t="shared" si="9"/>
        <v>0</v>
      </c>
      <c r="AB17" s="535"/>
      <c r="AC17" s="536"/>
      <c r="AD17" s="275">
        <f t="shared" si="10"/>
        <v>0</v>
      </c>
      <c r="AE17" s="535"/>
      <c r="AF17" s="536"/>
      <c r="AG17" s="275">
        <f t="shared" si="11"/>
        <v>0</v>
      </c>
      <c r="AH17" s="535"/>
      <c r="AI17" s="536"/>
      <c r="AJ17" s="275">
        <f t="shared" si="12"/>
        <v>0</v>
      </c>
      <c r="AK17" s="535"/>
      <c r="AL17" s="536"/>
      <c r="AM17" s="275">
        <f t="shared" si="13"/>
        <v>0</v>
      </c>
      <c r="AN17" s="535"/>
      <c r="AO17" s="536"/>
      <c r="AP17" s="275">
        <f t="shared" si="14"/>
        <v>0</v>
      </c>
      <c r="AQ17" s="535"/>
      <c r="AR17" s="536"/>
      <c r="AS17" s="275">
        <f t="shared" si="15"/>
        <v>0</v>
      </c>
      <c r="AT17" s="535"/>
      <c r="AU17" s="536"/>
      <c r="AV17" s="275">
        <f t="shared" si="16"/>
        <v>0</v>
      </c>
      <c r="AW17" s="535"/>
      <c r="AX17" s="536"/>
      <c r="AY17" s="275">
        <f t="shared" si="17"/>
        <v>0</v>
      </c>
      <c r="AZ17" s="535"/>
      <c r="BA17" s="536"/>
      <c r="BB17" s="275">
        <f t="shared" si="18"/>
        <v>0</v>
      </c>
      <c r="BC17" s="535"/>
      <c r="BD17" s="536"/>
      <c r="BE17" s="275">
        <f t="shared" si="19"/>
        <v>0</v>
      </c>
      <c r="BF17" s="535"/>
      <c r="BG17" s="536"/>
      <c r="BH17" s="275">
        <f t="shared" si="20"/>
        <v>0</v>
      </c>
      <c r="BI17" s="535"/>
      <c r="BJ17" s="536"/>
      <c r="BK17" s="275">
        <f t="shared" si="21"/>
        <v>0</v>
      </c>
      <c r="BL17" s="535"/>
      <c r="BM17" s="536"/>
      <c r="BN17" s="275">
        <f t="shared" si="22"/>
        <v>0</v>
      </c>
      <c r="BO17" s="535"/>
      <c r="BP17" s="536"/>
      <c r="BQ17" s="275">
        <f t="shared" si="23"/>
        <v>0</v>
      </c>
      <c r="BR17" s="258"/>
    </row>
    <row r="18" spans="1:70">
      <c r="A18" s="666"/>
      <c r="B18" s="670"/>
      <c r="C18" s="24" t="s">
        <v>28</v>
      </c>
      <c r="D18" s="272"/>
      <c r="E18" s="273"/>
      <c r="F18" s="274"/>
      <c r="G18" s="535"/>
      <c r="H18" s="536"/>
      <c r="I18" s="275">
        <f t="shared" si="3"/>
        <v>0</v>
      </c>
      <c r="J18" s="535"/>
      <c r="K18" s="536"/>
      <c r="L18" s="275">
        <f t="shared" si="4"/>
        <v>0</v>
      </c>
      <c r="M18" s="535"/>
      <c r="N18" s="536"/>
      <c r="O18" s="275">
        <f t="shared" si="5"/>
        <v>0</v>
      </c>
      <c r="P18" s="535"/>
      <c r="Q18" s="536"/>
      <c r="R18" s="275">
        <f t="shared" si="6"/>
        <v>0</v>
      </c>
      <c r="S18" s="535"/>
      <c r="T18" s="536"/>
      <c r="U18" s="275">
        <f t="shared" si="7"/>
        <v>0</v>
      </c>
      <c r="V18" s="535"/>
      <c r="W18" s="536"/>
      <c r="X18" s="275">
        <f t="shared" si="8"/>
        <v>0</v>
      </c>
      <c r="Y18" s="535"/>
      <c r="Z18" s="536"/>
      <c r="AA18" s="275">
        <f t="shared" si="9"/>
        <v>0</v>
      </c>
      <c r="AB18" s="535"/>
      <c r="AC18" s="536"/>
      <c r="AD18" s="275">
        <f t="shared" si="10"/>
        <v>0</v>
      </c>
      <c r="AE18" s="535"/>
      <c r="AF18" s="536"/>
      <c r="AG18" s="275">
        <f t="shared" si="11"/>
        <v>0</v>
      </c>
      <c r="AH18" s="535"/>
      <c r="AI18" s="536"/>
      <c r="AJ18" s="275">
        <f t="shared" si="12"/>
        <v>0</v>
      </c>
      <c r="AK18" s="535"/>
      <c r="AL18" s="536"/>
      <c r="AM18" s="275">
        <f t="shared" si="13"/>
        <v>0</v>
      </c>
      <c r="AN18" s="535"/>
      <c r="AO18" s="536"/>
      <c r="AP18" s="275">
        <f t="shared" si="14"/>
        <v>0</v>
      </c>
      <c r="AQ18" s="535"/>
      <c r="AR18" s="536"/>
      <c r="AS18" s="275">
        <f t="shared" si="15"/>
        <v>0</v>
      </c>
      <c r="AT18" s="535"/>
      <c r="AU18" s="536"/>
      <c r="AV18" s="275">
        <f t="shared" si="16"/>
        <v>0</v>
      </c>
      <c r="AW18" s="535"/>
      <c r="AX18" s="536"/>
      <c r="AY18" s="275">
        <f t="shared" si="17"/>
        <v>0</v>
      </c>
      <c r="AZ18" s="535"/>
      <c r="BA18" s="536"/>
      <c r="BB18" s="275">
        <f t="shared" si="18"/>
        <v>0</v>
      </c>
      <c r="BC18" s="535"/>
      <c r="BD18" s="536"/>
      <c r="BE18" s="275">
        <f t="shared" si="19"/>
        <v>0</v>
      </c>
      <c r="BF18" s="535"/>
      <c r="BG18" s="536"/>
      <c r="BH18" s="275">
        <f t="shared" si="20"/>
        <v>0</v>
      </c>
      <c r="BI18" s="535"/>
      <c r="BJ18" s="536"/>
      <c r="BK18" s="275">
        <f t="shared" si="21"/>
        <v>0</v>
      </c>
      <c r="BL18" s="535"/>
      <c r="BM18" s="536"/>
      <c r="BN18" s="275">
        <f t="shared" si="22"/>
        <v>0</v>
      </c>
      <c r="BO18" s="535"/>
      <c r="BP18" s="536"/>
      <c r="BQ18" s="275">
        <f t="shared" si="23"/>
        <v>0</v>
      </c>
      <c r="BR18" s="258"/>
    </row>
    <row r="19" spans="1:70">
      <c r="A19" s="666"/>
      <c r="B19" s="670"/>
      <c r="C19" s="24" t="s">
        <v>29</v>
      </c>
      <c r="D19" s="272"/>
      <c r="E19" s="273"/>
      <c r="F19" s="274"/>
      <c r="G19" s="535"/>
      <c r="H19" s="536"/>
      <c r="I19" s="275">
        <f t="shared" si="3"/>
        <v>0</v>
      </c>
      <c r="J19" s="535"/>
      <c r="K19" s="536"/>
      <c r="L19" s="275">
        <f t="shared" si="4"/>
        <v>0</v>
      </c>
      <c r="M19" s="535"/>
      <c r="N19" s="536"/>
      <c r="O19" s="275">
        <f t="shared" si="5"/>
        <v>0</v>
      </c>
      <c r="P19" s="535"/>
      <c r="Q19" s="536"/>
      <c r="R19" s="275">
        <f t="shared" si="6"/>
        <v>0</v>
      </c>
      <c r="S19" s="535"/>
      <c r="T19" s="536"/>
      <c r="U19" s="275">
        <f t="shared" si="7"/>
        <v>0</v>
      </c>
      <c r="V19" s="535"/>
      <c r="W19" s="536"/>
      <c r="X19" s="275">
        <f t="shared" si="8"/>
        <v>0</v>
      </c>
      <c r="Y19" s="535"/>
      <c r="Z19" s="536"/>
      <c r="AA19" s="275">
        <f t="shared" si="9"/>
        <v>0</v>
      </c>
      <c r="AB19" s="535"/>
      <c r="AC19" s="536"/>
      <c r="AD19" s="275">
        <f t="shared" si="10"/>
        <v>0</v>
      </c>
      <c r="AE19" s="535"/>
      <c r="AF19" s="536"/>
      <c r="AG19" s="275">
        <f t="shared" si="11"/>
        <v>0</v>
      </c>
      <c r="AH19" s="535"/>
      <c r="AI19" s="536"/>
      <c r="AJ19" s="275">
        <f t="shared" si="12"/>
        <v>0</v>
      </c>
      <c r="AK19" s="535"/>
      <c r="AL19" s="536"/>
      <c r="AM19" s="275">
        <f t="shared" si="13"/>
        <v>0</v>
      </c>
      <c r="AN19" s="535"/>
      <c r="AO19" s="536"/>
      <c r="AP19" s="275">
        <f t="shared" si="14"/>
        <v>0</v>
      </c>
      <c r="AQ19" s="535"/>
      <c r="AR19" s="536"/>
      <c r="AS19" s="275">
        <f t="shared" si="15"/>
        <v>0</v>
      </c>
      <c r="AT19" s="535"/>
      <c r="AU19" s="536"/>
      <c r="AV19" s="275">
        <f t="shared" si="16"/>
        <v>0</v>
      </c>
      <c r="AW19" s="535"/>
      <c r="AX19" s="536"/>
      <c r="AY19" s="275">
        <f t="shared" si="17"/>
        <v>0</v>
      </c>
      <c r="AZ19" s="535"/>
      <c r="BA19" s="536"/>
      <c r="BB19" s="275">
        <f t="shared" si="18"/>
        <v>0</v>
      </c>
      <c r="BC19" s="535"/>
      <c r="BD19" s="536"/>
      <c r="BE19" s="275">
        <f t="shared" si="19"/>
        <v>0</v>
      </c>
      <c r="BF19" s="535"/>
      <c r="BG19" s="536"/>
      <c r="BH19" s="275">
        <f t="shared" si="20"/>
        <v>0</v>
      </c>
      <c r="BI19" s="535"/>
      <c r="BJ19" s="536"/>
      <c r="BK19" s="275">
        <f t="shared" si="21"/>
        <v>0</v>
      </c>
      <c r="BL19" s="535"/>
      <c r="BM19" s="536"/>
      <c r="BN19" s="275">
        <f t="shared" si="22"/>
        <v>0</v>
      </c>
      <c r="BO19" s="535"/>
      <c r="BP19" s="536"/>
      <c r="BQ19" s="275">
        <f t="shared" si="23"/>
        <v>0</v>
      </c>
      <c r="BR19" s="258"/>
    </row>
    <row r="20" spans="1:70">
      <c r="A20" s="666"/>
      <c r="B20" s="670"/>
      <c r="C20" s="24" t="s">
        <v>30</v>
      </c>
      <c r="D20" s="272"/>
      <c r="E20" s="273"/>
      <c r="F20" s="274"/>
      <c r="G20" s="535"/>
      <c r="H20" s="536"/>
      <c r="I20" s="275">
        <f t="shared" si="3"/>
        <v>0</v>
      </c>
      <c r="J20" s="535"/>
      <c r="K20" s="536"/>
      <c r="L20" s="275">
        <f t="shared" si="4"/>
        <v>0</v>
      </c>
      <c r="M20" s="535"/>
      <c r="N20" s="536"/>
      <c r="O20" s="275">
        <f t="shared" si="5"/>
        <v>0</v>
      </c>
      <c r="P20" s="535"/>
      <c r="Q20" s="536"/>
      <c r="R20" s="275">
        <f t="shared" si="6"/>
        <v>0</v>
      </c>
      <c r="S20" s="535"/>
      <c r="T20" s="536"/>
      <c r="U20" s="275">
        <f t="shared" si="7"/>
        <v>0</v>
      </c>
      <c r="V20" s="535"/>
      <c r="W20" s="536"/>
      <c r="X20" s="275">
        <f t="shared" si="8"/>
        <v>0</v>
      </c>
      <c r="Y20" s="535"/>
      <c r="Z20" s="536"/>
      <c r="AA20" s="275">
        <f t="shared" si="9"/>
        <v>0</v>
      </c>
      <c r="AB20" s="535"/>
      <c r="AC20" s="536"/>
      <c r="AD20" s="275">
        <f t="shared" si="10"/>
        <v>0</v>
      </c>
      <c r="AE20" s="535"/>
      <c r="AF20" s="536"/>
      <c r="AG20" s="275">
        <f t="shared" si="11"/>
        <v>0</v>
      </c>
      <c r="AH20" s="535"/>
      <c r="AI20" s="536"/>
      <c r="AJ20" s="275">
        <f t="shared" si="12"/>
        <v>0</v>
      </c>
      <c r="AK20" s="535"/>
      <c r="AL20" s="536"/>
      <c r="AM20" s="275">
        <f t="shared" si="13"/>
        <v>0</v>
      </c>
      <c r="AN20" s="535"/>
      <c r="AO20" s="536"/>
      <c r="AP20" s="275">
        <f t="shared" si="14"/>
        <v>0</v>
      </c>
      <c r="AQ20" s="535"/>
      <c r="AR20" s="536"/>
      <c r="AS20" s="275">
        <f t="shared" si="15"/>
        <v>0</v>
      </c>
      <c r="AT20" s="535"/>
      <c r="AU20" s="536"/>
      <c r="AV20" s="275">
        <f t="shared" si="16"/>
        <v>0</v>
      </c>
      <c r="AW20" s="535"/>
      <c r="AX20" s="536"/>
      <c r="AY20" s="275">
        <f t="shared" si="17"/>
        <v>0</v>
      </c>
      <c r="AZ20" s="535"/>
      <c r="BA20" s="536"/>
      <c r="BB20" s="275">
        <f t="shared" si="18"/>
        <v>0</v>
      </c>
      <c r="BC20" s="535"/>
      <c r="BD20" s="536"/>
      <c r="BE20" s="275">
        <f t="shared" si="19"/>
        <v>0</v>
      </c>
      <c r="BF20" s="535"/>
      <c r="BG20" s="536"/>
      <c r="BH20" s="275">
        <f t="shared" si="20"/>
        <v>0</v>
      </c>
      <c r="BI20" s="535"/>
      <c r="BJ20" s="536"/>
      <c r="BK20" s="275">
        <f t="shared" si="21"/>
        <v>0</v>
      </c>
      <c r="BL20" s="535"/>
      <c r="BM20" s="536"/>
      <c r="BN20" s="275">
        <f t="shared" si="22"/>
        <v>0</v>
      </c>
      <c r="BO20" s="535"/>
      <c r="BP20" s="536"/>
      <c r="BQ20" s="275">
        <f t="shared" si="23"/>
        <v>0</v>
      </c>
      <c r="BR20" s="258"/>
    </row>
    <row r="21" spans="1:70">
      <c r="A21" s="666"/>
      <c r="B21" s="670"/>
      <c r="C21" s="24" t="s">
        <v>31</v>
      </c>
      <c r="D21" s="272"/>
      <c r="E21" s="273"/>
      <c r="F21" s="274"/>
      <c r="G21" s="535"/>
      <c r="H21" s="536"/>
      <c r="I21" s="275">
        <f t="shared" si="3"/>
        <v>0</v>
      </c>
      <c r="J21" s="535"/>
      <c r="K21" s="536"/>
      <c r="L21" s="275">
        <f t="shared" si="4"/>
        <v>0</v>
      </c>
      <c r="M21" s="535"/>
      <c r="N21" s="536"/>
      <c r="O21" s="275">
        <f t="shared" si="5"/>
        <v>0</v>
      </c>
      <c r="P21" s="535"/>
      <c r="Q21" s="536"/>
      <c r="R21" s="275">
        <f t="shared" si="6"/>
        <v>0</v>
      </c>
      <c r="S21" s="535"/>
      <c r="T21" s="536"/>
      <c r="U21" s="275">
        <f t="shared" si="7"/>
        <v>0</v>
      </c>
      <c r="V21" s="535"/>
      <c r="W21" s="536"/>
      <c r="X21" s="275">
        <f t="shared" si="8"/>
        <v>0</v>
      </c>
      <c r="Y21" s="535"/>
      <c r="Z21" s="536"/>
      <c r="AA21" s="275">
        <f t="shared" si="9"/>
        <v>0</v>
      </c>
      <c r="AB21" s="535"/>
      <c r="AC21" s="536"/>
      <c r="AD21" s="275">
        <f t="shared" si="10"/>
        <v>0</v>
      </c>
      <c r="AE21" s="535"/>
      <c r="AF21" s="536"/>
      <c r="AG21" s="275">
        <f t="shared" si="11"/>
        <v>0</v>
      </c>
      <c r="AH21" s="535"/>
      <c r="AI21" s="536"/>
      <c r="AJ21" s="275">
        <f t="shared" si="12"/>
        <v>0</v>
      </c>
      <c r="AK21" s="535"/>
      <c r="AL21" s="536"/>
      <c r="AM21" s="275">
        <f t="shared" si="13"/>
        <v>0</v>
      </c>
      <c r="AN21" s="535"/>
      <c r="AO21" s="536"/>
      <c r="AP21" s="275">
        <f t="shared" si="14"/>
        <v>0</v>
      </c>
      <c r="AQ21" s="535"/>
      <c r="AR21" s="536"/>
      <c r="AS21" s="275">
        <f t="shared" si="15"/>
        <v>0</v>
      </c>
      <c r="AT21" s="535"/>
      <c r="AU21" s="536"/>
      <c r="AV21" s="275">
        <f t="shared" si="16"/>
        <v>0</v>
      </c>
      <c r="AW21" s="535"/>
      <c r="AX21" s="536"/>
      <c r="AY21" s="275">
        <f t="shared" si="17"/>
        <v>0</v>
      </c>
      <c r="AZ21" s="535"/>
      <c r="BA21" s="536"/>
      <c r="BB21" s="275">
        <f t="shared" si="18"/>
        <v>0</v>
      </c>
      <c r="BC21" s="535"/>
      <c r="BD21" s="536"/>
      <c r="BE21" s="275">
        <f t="shared" si="19"/>
        <v>0</v>
      </c>
      <c r="BF21" s="535"/>
      <c r="BG21" s="536"/>
      <c r="BH21" s="275">
        <f t="shared" si="20"/>
        <v>0</v>
      </c>
      <c r="BI21" s="535"/>
      <c r="BJ21" s="536"/>
      <c r="BK21" s="275">
        <f t="shared" si="21"/>
        <v>0</v>
      </c>
      <c r="BL21" s="535"/>
      <c r="BM21" s="536"/>
      <c r="BN21" s="275">
        <f t="shared" si="22"/>
        <v>0</v>
      </c>
      <c r="BO21" s="535"/>
      <c r="BP21" s="536"/>
      <c r="BQ21" s="275">
        <f t="shared" si="23"/>
        <v>0</v>
      </c>
      <c r="BR21" s="258"/>
    </row>
    <row r="22" spans="1:70">
      <c r="A22" s="666"/>
      <c r="B22" s="670"/>
      <c r="C22" s="24" t="s">
        <v>32</v>
      </c>
      <c r="D22" s="272"/>
      <c r="E22" s="273"/>
      <c r="F22" s="274"/>
      <c r="G22" s="535"/>
      <c r="H22" s="536"/>
      <c r="I22" s="275">
        <f t="shared" si="3"/>
        <v>0</v>
      </c>
      <c r="J22" s="535"/>
      <c r="K22" s="536"/>
      <c r="L22" s="275">
        <f t="shared" si="4"/>
        <v>0</v>
      </c>
      <c r="M22" s="535"/>
      <c r="N22" s="536"/>
      <c r="O22" s="275">
        <f t="shared" si="5"/>
        <v>0</v>
      </c>
      <c r="P22" s="535"/>
      <c r="Q22" s="536"/>
      <c r="R22" s="275">
        <f t="shared" si="6"/>
        <v>0</v>
      </c>
      <c r="S22" s="535"/>
      <c r="T22" s="536"/>
      <c r="U22" s="275">
        <f t="shared" si="7"/>
        <v>0</v>
      </c>
      <c r="V22" s="535"/>
      <c r="W22" s="536"/>
      <c r="X22" s="275">
        <f t="shared" si="8"/>
        <v>0</v>
      </c>
      <c r="Y22" s="535"/>
      <c r="Z22" s="536"/>
      <c r="AA22" s="275">
        <f t="shared" si="9"/>
        <v>0</v>
      </c>
      <c r="AB22" s="535"/>
      <c r="AC22" s="536"/>
      <c r="AD22" s="275">
        <f t="shared" si="10"/>
        <v>0</v>
      </c>
      <c r="AE22" s="535"/>
      <c r="AF22" s="536"/>
      <c r="AG22" s="275">
        <f t="shared" si="11"/>
        <v>0</v>
      </c>
      <c r="AH22" s="535"/>
      <c r="AI22" s="536"/>
      <c r="AJ22" s="275">
        <f t="shared" si="12"/>
        <v>0</v>
      </c>
      <c r="AK22" s="535"/>
      <c r="AL22" s="536"/>
      <c r="AM22" s="275">
        <f t="shared" si="13"/>
        <v>0</v>
      </c>
      <c r="AN22" s="535"/>
      <c r="AO22" s="536"/>
      <c r="AP22" s="275">
        <f t="shared" si="14"/>
        <v>0</v>
      </c>
      <c r="AQ22" s="535"/>
      <c r="AR22" s="536"/>
      <c r="AS22" s="275">
        <f t="shared" si="15"/>
        <v>0</v>
      </c>
      <c r="AT22" s="535"/>
      <c r="AU22" s="536"/>
      <c r="AV22" s="275">
        <f t="shared" si="16"/>
        <v>0</v>
      </c>
      <c r="AW22" s="535"/>
      <c r="AX22" s="536"/>
      <c r="AY22" s="275">
        <f t="shared" si="17"/>
        <v>0</v>
      </c>
      <c r="AZ22" s="535"/>
      <c r="BA22" s="536"/>
      <c r="BB22" s="275">
        <f t="shared" si="18"/>
        <v>0</v>
      </c>
      <c r="BC22" s="535"/>
      <c r="BD22" s="536"/>
      <c r="BE22" s="275">
        <f t="shared" si="19"/>
        <v>0</v>
      </c>
      <c r="BF22" s="535"/>
      <c r="BG22" s="536"/>
      <c r="BH22" s="275">
        <f t="shared" si="20"/>
        <v>0</v>
      </c>
      <c r="BI22" s="535"/>
      <c r="BJ22" s="536"/>
      <c r="BK22" s="275">
        <f t="shared" si="21"/>
        <v>0</v>
      </c>
      <c r="BL22" s="535"/>
      <c r="BM22" s="536"/>
      <c r="BN22" s="275">
        <f t="shared" si="22"/>
        <v>0</v>
      </c>
      <c r="BO22" s="535"/>
      <c r="BP22" s="536"/>
      <c r="BQ22" s="275">
        <f t="shared" si="23"/>
        <v>0</v>
      </c>
      <c r="BR22" s="258"/>
    </row>
    <row r="23" spans="1:70">
      <c r="A23" s="666"/>
      <c r="B23" s="670"/>
      <c r="C23" s="24" t="s">
        <v>33</v>
      </c>
      <c r="D23" s="272"/>
      <c r="E23" s="273"/>
      <c r="F23" s="274"/>
      <c r="G23" s="535"/>
      <c r="H23" s="536"/>
      <c r="I23" s="275">
        <f t="shared" si="3"/>
        <v>0</v>
      </c>
      <c r="J23" s="535"/>
      <c r="K23" s="536"/>
      <c r="L23" s="275">
        <f t="shared" si="4"/>
        <v>0</v>
      </c>
      <c r="M23" s="535"/>
      <c r="N23" s="536"/>
      <c r="O23" s="275">
        <f t="shared" si="5"/>
        <v>0</v>
      </c>
      <c r="P23" s="535"/>
      <c r="Q23" s="536"/>
      <c r="R23" s="275">
        <f t="shared" si="6"/>
        <v>0</v>
      </c>
      <c r="S23" s="535"/>
      <c r="T23" s="536"/>
      <c r="U23" s="275">
        <f t="shared" si="7"/>
        <v>0</v>
      </c>
      <c r="V23" s="535"/>
      <c r="W23" s="536"/>
      <c r="X23" s="275">
        <f t="shared" si="8"/>
        <v>0</v>
      </c>
      <c r="Y23" s="535"/>
      <c r="Z23" s="536"/>
      <c r="AA23" s="275">
        <f t="shared" si="9"/>
        <v>0</v>
      </c>
      <c r="AB23" s="535"/>
      <c r="AC23" s="536"/>
      <c r="AD23" s="275">
        <f t="shared" si="10"/>
        <v>0</v>
      </c>
      <c r="AE23" s="535"/>
      <c r="AF23" s="536"/>
      <c r="AG23" s="275">
        <f t="shared" si="11"/>
        <v>0</v>
      </c>
      <c r="AH23" s="535"/>
      <c r="AI23" s="536"/>
      <c r="AJ23" s="275">
        <f t="shared" si="12"/>
        <v>0</v>
      </c>
      <c r="AK23" s="535"/>
      <c r="AL23" s="536"/>
      <c r="AM23" s="275">
        <f t="shared" si="13"/>
        <v>0</v>
      </c>
      <c r="AN23" s="535"/>
      <c r="AO23" s="536"/>
      <c r="AP23" s="275">
        <f t="shared" si="14"/>
        <v>0</v>
      </c>
      <c r="AQ23" s="535"/>
      <c r="AR23" s="536"/>
      <c r="AS23" s="275">
        <f t="shared" si="15"/>
        <v>0</v>
      </c>
      <c r="AT23" s="535"/>
      <c r="AU23" s="536"/>
      <c r="AV23" s="275">
        <f t="shared" si="16"/>
        <v>0</v>
      </c>
      <c r="AW23" s="535"/>
      <c r="AX23" s="536"/>
      <c r="AY23" s="275">
        <f t="shared" si="17"/>
        <v>0</v>
      </c>
      <c r="AZ23" s="535"/>
      <c r="BA23" s="536"/>
      <c r="BB23" s="275">
        <f t="shared" si="18"/>
        <v>0</v>
      </c>
      <c r="BC23" s="535"/>
      <c r="BD23" s="536"/>
      <c r="BE23" s="275">
        <f t="shared" si="19"/>
        <v>0</v>
      </c>
      <c r="BF23" s="535"/>
      <c r="BG23" s="536"/>
      <c r="BH23" s="275">
        <f t="shared" si="20"/>
        <v>0</v>
      </c>
      <c r="BI23" s="535"/>
      <c r="BJ23" s="536"/>
      <c r="BK23" s="275">
        <f t="shared" si="21"/>
        <v>0</v>
      </c>
      <c r="BL23" s="535"/>
      <c r="BM23" s="536"/>
      <c r="BN23" s="275">
        <f t="shared" si="22"/>
        <v>0</v>
      </c>
      <c r="BO23" s="535"/>
      <c r="BP23" s="536"/>
      <c r="BQ23" s="275">
        <f t="shared" si="23"/>
        <v>0</v>
      </c>
      <c r="BR23" s="258"/>
    </row>
    <row r="24" spans="1:70" ht="15.75" thickBot="1">
      <c r="A24" s="667"/>
      <c r="B24" s="671"/>
      <c r="C24" s="263" t="s">
        <v>34</v>
      </c>
      <c r="D24" s="276"/>
      <c r="E24" s="277"/>
      <c r="F24" s="278"/>
      <c r="G24" s="537"/>
      <c r="H24" s="538"/>
      <c r="I24" s="279">
        <f t="shared" si="3"/>
        <v>0</v>
      </c>
      <c r="J24" s="537"/>
      <c r="K24" s="538"/>
      <c r="L24" s="279">
        <f t="shared" si="4"/>
        <v>0</v>
      </c>
      <c r="M24" s="537"/>
      <c r="N24" s="538"/>
      <c r="O24" s="279">
        <f t="shared" si="5"/>
        <v>0</v>
      </c>
      <c r="P24" s="537"/>
      <c r="Q24" s="538"/>
      <c r="R24" s="279">
        <f t="shared" si="6"/>
        <v>0</v>
      </c>
      <c r="S24" s="537"/>
      <c r="T24" s="538"/>
      <c r="U24" s="279">
        <f t="shared" si="7"/>
        <v>0</v>
      </c>
      <c r="V24" s="537"/>
      <c r="W24" s="538"/>
      <c r="X24" s="279">
        <f t="shared" si="8"/>
        <v>0</v>
      </c>
      <c r="Y24" s="537"/>
      <c r="Z24" s="538"/>
      <c r="AA24" s="279">
        <f t="shared" si="9"/>
        <v>0</v>
      </c>
      <c r="AB24" s="537"/>
      <c r="AC24" s="538"/>
      <c r="AD24" s="279">
        <f t="shared" si="10"/>
        <v>0</v>
      </c>
      <c r="AE24" s="537"/>
      <c r="AF24" s="538"/>
      <c r="AG24" s="279">
        <f t="shared" si="11"/>
        <v>0</v>
      </c>
      <c r="AH24" s="537"/>
      <c r="AI24" s="538"/>
      <c r="AJ24" s="279">
        <f t="shared" si="12"/>
        <v>0</v>
      </c>
      <c r="AK24" s="537"/>
      <c r="AL24" s="538"/>
      <c r="AM24" s="279">
        <f t="shared" si="13"/>
        <v>0</v>
      </c>
      <c r="AN24" s="537"/>
      <c r="AO24" s="538"/>
      <c r="AP24" s="279">
        <f t="shared" si="14"/>
        <v>0</v>
      </c>
      <c r="AQ24" s="537"/>
      <c r="AR24" s="538"/>
      <c r="AS24" s="279">
        <f t="shared" si="15"/>
        <v>0</v>
      </c>
      <c r="AT24" s="537"/>
      <c r="AU24" s="538"/>
      <c r="AV24" s="279">
        <f t="shared" si="16"/>
        <v>0</v>
      </c>
      <c r="AW24" s="537"/>
      <c r="AX24" s="538"/>
      <c r="AY24" s="279">
        <f t="shared" si="17"/>
        <v>0</v>
      </c>
      <c r="AZ24" s="537"/>
      <c r="BA24" s="538"/>
      <c r="BB24" s="279">
        <f t="shared" si="18"/>
        <v>0</v>
      </c>
      <c r="BC24" s="537"/>
      <c r="BD24" s="538"/>
      <c r="BE24" s="279">
        <f t="shared" si="19"/>
        <v>0</v>
      </c>
      <c r="BF24" s="537"/>
      <c r="BG24" s="538"/>
      <c r="BH24" s="279">
        <f t="shared" si="20"/>
        <v>0</v>
      </c>
      <c r="BI24" s="537"/>
      <c r="BJ24" s="538"/>
      <c r="BK24" s="279">
        <f t="shared" si="21"/>
        <v>0</v>
      </c>
      <c r="BL24" s="537"/>
      <c r="BM24" s="538"/>
      <c r="BN24" s="279">
        <f t="shared" si="22"/>
        <v>0</v>
      </c>
      <c r="BO24" s="537"/>
      <c r="BP24" s="538"/>
      <c r="BQ24" s="279">
        <f t="shared" si="23"/>
        <v>0</v>
      </c>
      <c r="BR24" s="258"/>
    </row>
    <row r="25" spans="1:70" s="281" customFormat="1" ht="14.25" customHeight="1">
      <c r="A25" s="665" t="s">
        <v>42</v>
      </c>
      <c r="B25" s="669" t="s">
        <v>13</v>
      </c>
      <c r="C25" s="251" t="s">
        <v>25</v>
      </c>
      <c r="D25" s="268"/>
      <c r="E25" s="269"/>
      <c r="F25" s="270"/>
      <c r="G25" s="533"/>
      <c r="H25" s="534"/>
      <c r="I25" s="271">
        <f>H25-G25</f>
        <v>0</v>
      </c>
      <c r="J25" s="533"/>
      <c r="K25" s="534"/>
      <c r="L25" s="271">
        <f>K25-J25</f>
        <v>0</v>
      </c>
      <c r="M25" s="533"/>
      <c r="N25" s="534"/>
      <c r="O25" s="271">
        <f>N25-M25</f>
        <v>0</v>
      </c>
      <c r="P25" s="533"/>
      <c r="Q25" s="534"/>
      <c r="R25" s="271">
        <f>Q25-P25</f>
        <v>0</v>
      </c>
      <c r="S25" s="533"/>
      <c r="T25" s="534"/>
      <c r="U25" s="271">
        <f>T25-S25</f>
        <v>0</v>
      </c>
      <c r="V25" s="533"/>
      <c r="W25" s="534"/>
      <c r="X25" s="271">
        <f>W25-V25</f>
        <v>0</v>
      </c>
      <c r="Y25" s="533"/>
      <c r="Z25" s="534"/>
      <c r="AA25" s="271">
        <f>Z25-Y25</f>
        <v>0</v>
      </c>
      <c r="AB25" s="533"/>
      <c r="AC25" s="534"/>
      <c r="AD25" s="271">
        <f>AC25-AB25</f>
        <v>0</v>
      </c>
      <c r="AE25" s="533"/>
      <c r="AF25" s="534"/>
      <c r="AG25" s="271">
        <f>AF25-AE25</f>
        <v>0</v>
      </c>
      <c r="AH25" s="533"/>
      <c r="AI25" s="534"/>
      <c r="AJ25" s="271">
        <f>AI25-AH25</f>
        <v>0</v>
      </c>
      <c r="AK25" s="533"/>
      <c r="AL25" s="534"/>
      <c r="AM25" s="271">
        <f>AL25-AK25</f>
        <v>0</v>
      </c>
      <c r="AN25" s="533"/>
      <c r="AO25" s="534"/>
      <c r="AP25" s="271">
        <f>AO25-AN25</f>
        <v>0</v>
      </c>
      <c r="AQ25" s="533"/>
      <c r="AR25" s="534"/>
      <c r="AS25" s="271">
        <f>AR25-AQ25</f>
        <v>0</v>
      </c>
      <c r="AT25" s="533"/>
      <c r="AU25" s="534"/>
      <c r="AV25" s="271">
        <f>AU25-AT25</f>
        <v>0</v>
      </c>
      <c r="AW25" s="533"/>
      <c r="AX25" s="534"/>
      <c r="AY25" s="271">
        <f>AX25-AW25</f>
        <v>0</v>
      </c>
      <c r="AZ25" s="533"/>
      <c r="BA25" s="534"/>
      <c r="BB25" s="271">
        <f>BA25-AZ25</f>
        <v>0</v>
      </c>
      <c r="BC25" s="533"/>
      <c r="BD25" s="534"/>
      <c r="BE25" s="271">
        <f>BD25-BC25</f>
        <v>0</v>
      </c>
      <c r="BF25" s="533"/>
      <c r="BG25" s="534"/>
      <c r="BH25" s="271">
        <f>BG25-BF25</f>
        <v>0</v>
      </c>
      <c r="BI25" s="533"/>
      <c r="BJ25" s="534"/>
      <c r="BK25" s="271">
        <f>BJ25-BI25</f>
        <v>0</v>
      </c>
      <c r="BL25" s="533"/>
      <c r="BM25" s="534"/>
      <c r="BN25" s="271">
        <f>BM25-BL25</f>
        <v>0</v>
      </c>
      <c r="BO25" s="533"/>
      <c r="BP25" s="534"/>
      <c r="BQ25" s="271">
        <f>BP25-BO25</f>
        <v>0</v>
      </c>
      <c r="BR25" s="280"/>
    </row>
    <row r="26" spans="1:70">
      <c r="A26" s="666"/>
      <c r="B26" s="670"/>
      <c r="C26" s="24" t="s">
        <v>26</v>
      </c>
      <c r="D26" s="272"/>
      <c r="E26" s="273"/>
      <c r="F26" s="274"/>
      <c r="G26" s="535"/>
      <c r="H26" s="536"/>
      <c r="I26" s="275">
        <f t="shared" ref="I26:I43" si="24">H26-G26</f>
        <v>0</v>
      </c>
      <c r="J26" s="535"/>
      <c r="K26" s="536"/>
      <c r="L26" s="275">
        <f t="shared" ref="L26:L43" si="25">K26-J26</f>
        <v>0</v>
      </c>
      <c r="M26" s="535"/>
      <c r="N26" s="536"/>
      <c r="O26" s="275">
        <f t="shared" ref="O26:O43" si="26">N26-M26</f>
        <v>0</v>
      </c>
      <c r="P26" s="535"/>
      <c r="Q26" s="536"/>
      <c r="R26" s="275">
        <f t="shared" ref="R26:R43" si="27">Q26-P26</f>
        <v>0</v>
      </c>
      <c r="S26" s="535"/>
      <c r="T26" s="536"/>
      <c r="U26" s="275">
        <f t="shared" ref="U26:U43" si="28">T26-S26</f>
        <v>0</v>
      </c>
      <c r="V26" s="535"/>
      <c r="W26" s="536"/>
      <c r="X26" s="275">
        <f t="shared" ref="X26:X43" si="29">W26-V26</f>
        <v>0</v>
      </c>
      <c r="Y26" s="535"/>
      <c r="Z26" s="536"/>
      <c r="AA26" s="275">
        <f t="shared" ref="AA26:AA43" si="30">Z26-Y26</f>
        <v>0</v>
      </c>
      <c r="AB26" s="535"/>
      <c r="AC26" s="536"/>
      <c r="AD26" s="275">
        <f t="shared" ref="AD26:AD43" si="31">AC26-AB26</f>
        <v>0</v>
      </c>
      <c r="AE26" s="535"/>
      <c r="AF26" s="536"/>
      <c r="AG26" s="275">
        <f t="shared" ref="AG26:AG43" si="32">AF26-AE26</f>
        <v>0</v>
      </c>
      <c r="AH26" s="535"/>
      <c r="AI26" s="536"/>
      <c r="AJ26" s="275">
        <f t="shared" ref="AJ26:AJ43" si="33">AI26-AH26</f>
        <v>0</v>
      </c>
      <c r="AK26" s="535"/>
      <c r="AL26" s="536"/>
      <c r="AM26" s="275">
        <f t="shared" ref="AM26:AM43" si="34">AL26-AK26</f>
        <v>0</v>
      </c>
      <c r="AN26" s="535"/>
      <c r="AO26" s="536"/>
      <c r="AP26" s="275">
        <f t="shared" ref="AP26:AP43" si="35">AO26-AN26</f>
        <v>0</v>
      </c>
      <c r="AQ26" s="535"/>
      <c r="AR26" s="536"/>
      <c r="AS26" s="275">
        <f t="shared" ref="AS26:AS43" si="36">AR26-AQ26</f>
        <v>0</v>
      </c>
      <c r="AT26" s="535"/>
      <c r="AU26" s="536"/>
      <c r="AV26" s="275">
        <f t="shared" ref="AV26:AV43" si="37">AU26-AT26</f>
        <v>0</v>
      </c>
      <c r="AW26" s="535"/>
      <c r="AX26" s="536"/>
      <c r="AY26" s="275">
        <f t="shared" ref="AY26:AY43" si="38">AX26-AW26</f>
        <v>0</v>
      </c>
      <c r="AZ26" s="535"/>
      <c r="BA26" s="536"/>
      <c r="BB26" s="275">
        <f t="shared" ref="BB26:BB43" si="39">BA26-AZ26</f>
        <v>0</v>
      </c>
      <c r="BC26" s="535"/>
      <c r="BD26" s="536"/>
      <c r="BE26" s="275">
        <f t="shared" ref="BE26:BE43" si="40">BD26-BC26</f>
        <v>0</v>
      </c>
      <c r="BF26" s="535"/>
      <c r="BG26" s="536"/>
      <c r="BH26" s="275">
        <f t="shared" ref="BH26:BH43" si="41">BG26-BF26</f>
        <v>0</v>
      </c>
      <c r="BI26" s="535"/>
      <c r="BJ26" s="536"/>
      <c r="BK26" s="275">
        <f t="shared" ref="BK26:BK43" si="42">BJ26-BI26</f>
        <v>0</v>
      </c>
      <c r="BL26" s="535"/>
      <c r="BM26" s="536"/>
      <c r="BN26" s="275">
        <f t="shared" ref="BN26:BN43" si="43">BM26-BL26</f>
        <v>0</v>
      </c>
      <c r="BO26" s="535"/>
      <c r="BP26" s="536"/>
      <c r="BQ26" s="275">
        <f t="shared" ref="BQ26:BQ53" si="44">BP26-BO26</f>
        <v>0</v>
      </c>
    </row>
    <row r="27" spans="1:70">
      <c r="A27" s="666"/>
      <c r="B27" s="670"/>
      <c r="C27" s="24" t="s">
        <v>27</v>
      </c>
      <c r="D27" s="272"/>
      <c r="E27" s="273"/>
      <c r="F27" s="274"/>
      <c r="G27" s="535"/>
      <c r="H27" s="536"/>
      <c r="I27" s="275">
        <f t="shared" si="24"/>
        <v>0</v>
      </c>
      <c r="J27" s="535"/>
      <c r="K27" s="536"/>
      <c r="L27" s="275">
        <f t="shared" si="25"/>
        <v>0</v>
      </c>
      <c r="M27" s="535"/>
      <c r="N27" s="536"/>
      <c r="O27" s="275">
        <f t="shared" si="26"/>
        <v>0</v>
      </c>
      <c r="P27" s="535"/>
      <c r="Q27" s="536"/>
      <c r="R27" s="275">
        <f t="shared" si="27"/>
        <v>0</v>
      </c>
      <c r="S27" s="535"/>
      <c r="T27" s="536"/>
      <c r="U27" s="275">
        <f t="shared" si="28"/>
        <v>0</v>
      </c>
      <c r="V27" s="535"/>
      <c r="W27" s="536"/>
      <c r="X27" s="275">
        <f t="shared" si="29"/>
        <v>0</v>
      </c>
      <c r="Y27" s="535"/>
      <c r="Z27" s="536"/>
      <c r="AA27" s="275">
        <f t="shared" si="30"/>
        <v>0</v>
      </c>
      <c r="AB27" s="535"/>
      <c r="AC27" s="536"/>
      <c r="AD27" s="275">
        <f t="shared" si="31"/>
        <v>0</v>
      </c>
      <c r="AE27" s="535"/>
      <c r="AF27" s="536"/>
      <c r="AG27" s="275">
        <f t="shared" si="32"/>
        <v>0</v>
      </c>
      <c r="AH27" s="535"/>
      <c r="AI27" s="536"/>
      <c r="AJ27" s="275">
        <f t="shared" si="33"/>
        <v>0</v>
      </c>
      <c r="AK27" s="535"/>
      <c r="AL27" s="536"/>
      <c r="AM27" s="275">
        <f t="shared" si="34"/>
        <v>0</v>
      </c>
      <c r="AN27" s="535"/>
      <c r="AO27" s="536"/>
      <c r="AP27" s="275">
        <f t="shared" si="35"/>
        <v>0</v>
      </c>
      <c r="AQ27" s="535"/>
      <c r="AR27" s="536"/>
      <c r="AS27" s="275">
        <f t="shared" si="36"/>
        <v>0</v>
      </c>
      <c r="AT27" s="535"/>
      <c r="AU27" s="536"/>
      <c r="AV27" s="275">
        <f t="shared" si="37"/>
        <v>0</v>
      </c>
      <c r="AW27" s="535"/>
      <c r="AX27" s="536"/>
      <c r="AY27" s="275">
        <f t="shared" si="38"/>
        <v>0</v>
      </c>
      <c r="AZ27" s="535"/>
      <c r="BA27" s="536"/>
      <c r="BB27" s="275">
        <f t="shared" si="39"/>
        <v>0</v>
      </c>
      <c r="BC27" s="535"/>
      <c r="BD27" s="536"/>
      <c r="BE27" s="275">
        <f t="shared" si="40"/>
        <v>0</v>
      </c>
      <c r="BF27" s="535"/>
      <c r="BG27" s="536"/>
      <c r="BH27" s="275">
        <f t="shared" si="41"/>
        <v>0</v>
      </c>
      <c r="BI27" s="535"/>
      <c r="BJ27" s="536"/>
      <c r="BK27" s="275">
        <f t="shared" si="42"/>
        <v>0</v>
      </c>
      <c r="BL27" s="535"/>
      <c r="BM27" s="536"/>
      <c r="BN27" s="275">
        <f t="shared" si="43"/>
        <v>0</v>
      </c>
      <c r="BO27" s="535"/>
      <c r="BP27" s="536"/>
      <c r="BQ27" s="275">
        <f t="shared" si="44"/>
        <v>0</v>
      </c>
    </row>
    <row r="28" spans="1:70">
      <c r="A28" s="666"/>
      <c r="B28" s="670"/>
      <c r="C28" s="24" t="s">
        <v>28</v>
      </c>
      <c r="D28" s="272"/>
      <c r="E28" s="273"/>
      <c r="F28" s="274"/>
      <c r="G28" s="535"/>
      <c r="H28" s="536"/>
      <c r="I28" s="275">
        <f t="shared" si="24"/>
        <v>0</v>
      </c>
      <c r="J28" s="535"/>
      <c r="K28" s="536"/>
      <c r="L28" s="275">
        <f t="shared" si="25"/>
        <v>0</v>
      </c>
      <c r="M28" s="535"/>
      <c r="N28" s="536"/>
      <c r="O28" s="275">
        <f t="shared" si="26"/>
        <v>0</v>
      </c>
      <c r="P28" s="535"/>
      <c r="Q28" s="536"/>
      <c r="R28" s="275">
        <f t="shared" si="27"/>
        <v>0</v>
      </c>
      <c r="S28" s="535"/>
      <c r="T28" s="536"/>
      <c r="U28" s="275">
        <f t="shared" si="28"/>
        <v>0</v>
      </c>
      <c r="V28" s="535"/>
      <c r="W28" s="536"/>
      <c r="X28" s="275">
        <f t="shared" si="29"/>
        <v>0</v>
      </c>
      <c r="Y28" s="535"/>
      <c r="Z28" s="536"/>
      <c r="AA28" s="275">
        <f t="shared" si="30"/>
        <v>0</v>
      </c>
      <c r="AB28" s="535"/>
      <c r="AC28" s="536"/>
      <c r="AD28" s="275">
        <f t="shared" si="31"/>
        <v>0</v>
      </c>
      <c r="AE28" s="535"/>
      <c r="AF28" s="536"/>
      <c r="AG28" s="275">
        <f t="shared" si="32"/>
        <v>0</v>
      </c>
      <c r="AH28" s="535"/>
      <c r="AI28" s="536"/>
      <c r="AJ28" s="275">
        <f t="shared" si="33"/>
        <v>0</v>
      </c>
      <c r="AK28" s="535"/>
      <c r="AL28" s="536"/>
      <c r="AM28" s="275">
        <f t="shared" si="34"/>
        <v>0</v>
      </c>
      <c r="AN28" s="535"/>
      <c r="AO28" s="536"/>
      <c r="AP28" s="275">
        <f t="shared" si="35"/>
        <v>0</v>
      </c>
      <c r="AQ28" s="535"/>
      <c r="AR28" s="536"/>
      <c r="AS28" s="275">
        <f t="shared" si="36"/>
        <v>0</v>
      </c>
      <c r="AT28" s="535"/>
      <c r="AU28" s="536"/>
      <c r="AV28" s="275">
        <f t="shared" si="37"/>
        <v>0</v>
      </c>
      <c r="AW28" s="535"/>
      <c r="AX28" s="536"/>
      <c r="AY28" s="275">
        <f t="shared" si="38"/>
        <v>0</v>
      </c>
      <c r="AZ28" s="535"/>
      <c r="BA28" s="536"/>
      <c r="BB28" s="275">
        <f t="shared" si="39"/>
        <v>0</v>
      </c>
      <c r="BC28" s="535"/>
      <c r="BD28" s="536"/>
      <c r="BE28" s="275">
        <f t="shared" si="40"/>
        <v>0</v>
      </c>
      <c r="BF28" s="535"/>
      <c r="BG28" s="536"/>
      <c r="BH28" s="275">
        <f t="shared" si="41"/>
        <v>0</v>
      </c>
      <c r="BI28" s="535"/>
      <c r="BJ28" s="536"/>
      <c r="BK28" s="275">
        <f t="shared" si="42"/>
        <v>0</v>
      </c>
      <c r="BL28" s="535"/>
      <c r="BM28" s="536"/>
      <c r="BN28" s="275">
        <f t="shared" si="43"/>
        <v>0</v>
      </c>
      <c r="BO28" s="535"/>
      <c r="BP28" s="536"/>
      <c r="BQ28" s="275">
        <f t="shared" si="44"/>
        <v>0</v>
      </c>
    </row>
    <row r="29" spans="1:70">
      <c r="A29" s="666"/>
      <c r="B29" s="670"/>
      <c r="C29" s="24" t="s">
        <v>29</v>
      </c>
      <c r="D29" s="272"/>
      <c r="E29" s="273"/>
      <c r="F29" s="274"/>
      <c r="G29" s="535"/>
      <c r="H29" s="536"/>
      <c r="I29" s="275">
        <f t="shared" si="24"/>
        <v>0</v>
      </c>
      <c r="J29" s="535"/>
      <c r="K29" s="536"/>
      <c r="L29" s="275">
        <f t="shared" si="25"/>
        <v>0</v>
      </c>
      <c r="M29" s="535"/>
      <c r="N29" s="536"/>
      <c r="O29" s="275">
        <f t="shared" si="26"/>
        <v>0</v>
      </c>
      <c r="P29" s="535"/>
      <c r="Q29" s="536"/>
      <c r="R29" s="275">
        <f t="shared" si="27"/>
        <v>0</v>
      </c>
      <c r="S29" s="535"/>
      <c r="T29" s="536"/>
      <c r="U29" s="275">
        <f t="shared" si="28"/>
        <v>0</v>
      </c>
      <c r="V29" s="535"/>
      <c r="W29" s="536"/>
      <c r="X29" s="275">
        <f t="shared" si="29"/>
        <v>0</v>
      </c>
      <c r="Y29" s="535"/>
      <c r="Z29" s="536"/>
      <c r="AA29" s="275">
        <f t="shared" si="30"/>
        <v>0</v>
      </c>
      <c r="AB29" s="535"/>
      <c r="AC29" s="536"/>
      <c r="AD29" s="275">
        <f t="shared" si="31"/>
        <v>0</v>
      </c>
      <c r="AE29" s="535"/>
      <c r="AF29" s="536"/>
      <c r="AG29" s="275">
        <f t="shared" si="32"/>
        <v>0</v>
      </c>
      <c r="AH29" s="535"/>
      <c r="AI29" s="536"/>
      <c r="AJ29" s="275">
        <f t="shared" si="33"/>
        <v>0</v>
      </c>
      <c r="AK29" s="535"/>
      <c r="AL29" s="536"/>
      <c r="AM29" s="275">
        <f t="shared" si="34"/>
        <v>0</v>
      </c>
      <c r="AN29" s="535"/>
      <c r="AO29" s="536"/>
      <c r="AP29" s="275">
        <f t="shared" si="35"/>
        <v>0</v>
      </c>
      <c r="AQ29" s="535"/>
      <c r="AR29" s="536"/>
      <c r="AS29" s="275">
        <f t="shared" si="36"/>
        <v>0</v>
      </c>
      <c r="AT29" s="535"/>
      <c r="AU29" s="536"/>
      <c r="AV29" s="275">
        <f t="shared" si="37"/>
        <v>0</v>
      </c>
      <c r="AW29" s="535"/>
      <c r="AX29" s="536"/>
      <c r="AY29" s="275">
        <f t="shared" si="38"/>
        <v>0</v>
      </c>
      <c r="AZ29" s="535"/>
      <c r="BA29" s="536"/>
      <c r="BB29" s="275">
        <f t="shared" si="39"/>
        <v>0</v>
      </c>
      <c r="BC29" s="535"/>
      <c r="BD29" s="536"/>
      <c r="BE29" s="275">
        <f t="shared" si="40"/>
        <v>0</v>
      </c>
      <c r="BF29" s="535"/>
      <c r="BG29" s="536"/>
      <c r="BH29" s="275">
        <f t="shared" si="41"/>
        <v>0</v>
      </c>
      <c r="BI29" s="535"/>
      <c r="BJ29" s="536"/>
      <c r="BK29" s="275">
        <f t="shared" si="42"/>
        <v>0</v>
      </c>
      <c r="BL29" s="535"/>
      <c r="BM29" s="536"/>
      <c r="BN29" s="275">
        <f t="shared" si="43"/>
        <v>0</v>
      </c>
      <c r="BO29" s="535"/>
      <c r="BP29" s="536"/>
      <c r="BQ29" s="275">
        <f t="shared" si="44"/>
        <v>0</v>
      </c>
    </row>
    <row r="30" spans="1:70">
      <c r="A30" s="666"/>
      <c r="B30" s="670"/>
      <c r="C30" s="24" t="s">
        <v>30</v>
      </c>
      <c r="D30" s="272"/>
      <c r="E30" s="273"/>
      <c r="F30" s="274"/>
      <c r="G30" s="535"/>
      <c r="H30" s="536"/>
      <c r="I30" s="275">
        <f t="shared" si="24"/>
        <v>0</v>
      </c>
      <c r="J30" s="535"/>
      <c r="K30" s="536"/>
      <c r="L30" s="275">
        <f t="shared" si="25"/>
        <v>0</v>
      </c>
      <c r="M30" s="535"/>
      <c r="N30" s="536"/>
      <c r="O30" s="275">
        <f t="shared" si="26"/>
        <v>0</v>
      </c>
      <c r="P30" s="535"/>
      <c r="Q30" s="536"/>
      <c r="R30" s="275">
        <f t="shared" si="27"/>
        <v>0</v>
      </c>
      <c r="S30" s="535"/>
      <c r="T30" s="536"/>
      <c r="U30" s="275">
        <f t="shared" si="28"/>
        <v>0</v>
      </c>
      <c r="V30" s="535"/>
      <c r="W30" s="536"/>
      <c r="X30" s="275">
        <f t="shared" si="29"/>
        <v>0</v>
      </c>
      <c r="Y30" s="535"/>
      <c r="Z30" s="536"/>
      <c r="AA30" s="275">
        <f t="shared" si="30"/>
        <v>0</v>
      </c>
      <c r="AB30" s="535"/>
      <c r="AC30" s="536"/>
      <c r="AD30" s="275">
        <f t="shared" si="31"/>
        <v>0</v>
      </c>
      <c r="AE30" s="535"/>
      <c r="AF30" s="536"/>
      <c r="AG30" s="275">
        <f t="shared" si="32"/>
        <v>0</v>
      </c>
      <c r="AH30" s="535"/>
      <c r="AI30" s="536"/>
      <c r="AJ30" s="275">
        <f t="shared" si="33"/>
        <v>0</v>
      </c>
      <c r="AK30" s="535"/>
      <c r="AL30" s="536"/>
      <c r="AM30" s="275">
        <f t="shared" si="34"/>
        <v>0</v>
      </c>
      <c r="AN30" s="535"/>
      <c r="AO30" s="536"/>
      <c r="AP30" s="275">
        <f t="shared" si="35"/>
        <v>0</v>
      </c>
      <c r="AQ30" s="535"/>
      <c r="AR30" s="536"/>
      <c r="AS30" s="275">
        <f t="shared" si="36"/>
        <v>0</v>
      </c>
      <c r="AT30" s="535"/>
      <c r="AU30" s="536"/>
      <c r="AV30" s="275">
        <f t="shared" si="37"/>
        <v>0</v>
      </c>
      <c r="AW30" s="535"/>
      <c r="AX30" s="536"/>
      <c r="AY30" s="275">
        <f t="shared" si="38"/>
        <v>0</v>
      </c>
      <c r="AZ30" s="535"/>
      <c r="BA30" s="536"/>
      <c r="BB30" s="275">
        <f t="shared" si="39"/>
        <v>0</v>
      </c>
      <c r="BC30" s="535"/>
      <c r="BD30" s="536"/>
      <c r="BE30" s="275">
        <f t="shared" si="40"/>
        <v>0</v>
      </c>
      <c r="BF30" s="535"/>
      <c r="BG30" s="536"/>
      <c r="BH30" s="275">
        <f t="shared" si="41"/>
        <v>0</v>
      </c>
      <c r="BI30" s="535"/>
      <c r="BJ30" s="536"/>
      <c r="BK30" s="275">
        <f t="shared" si="42"/>
        <v>0</v>
      </c>
      <c r="BL30" s="535"/>
      <c r="BM30" s="536"/>
      <c r="BN30" s="275">
        <f t="shared" si="43"/>
        <v>0</v>
      </c>
      <c r="BO30" s="535"/>
      <c r="BP30" s="536"/>
      <c r="BQ30" s="275">
        <f t="shared" si="44"/>
        <v>0</v>
      </c>
    </row>
    <row r="31" spans="1:70">
      <c r="A31" s="666"/>
      <c r="B31" s="670"/>
      <c r="C31" s="24" t="s">
        <v>31</v>
      </c>
      <c r="D31" s="272"/>
      <c r="E31" s="273"/>
      <c r="F31" s="274"/>
      <c r="G31" s="535"/>
      <c r="H31" s="536"/>
      <c r="I31" s="275">
        <f t="shared" si="24"/>
        <v>0</v>
      </c>
      <c r="J31" s="535"/>
      <c r="K31" s="536"/>
      <c r="L31" s="275">
        <f t="shared" si="25"/>
        <v>0</v>
      </c>
      <c r="M31" s="535"/>
      <c r="N31" s="536"/>
      <c r="O31" s="275">
        <f t="shared" si="26"/>
        <v>0</v>
      </c>
      <c r="P31" s="535"/>
      <c r="Q31" s="536"/>
      <c r="R31" s="275">
        <f t="shared" si="27"/>
        <v>0</v>
      </c>
      <c r="S31" s="535"/>
      <c r="T31" s="536"/>
      <c r="U31" s="275">
        <f t="shared" si="28"/>
        <v>0</v>
      </c>
      <c r="V31" s="535"/>
      <c r="W31" s="536"/>
      <c r="X31" s="275">
        <f t="shared" si="29"/>
        <v>0</v>
      </c>
      <c r="Y31" s="535"/>
      <c r="Z31" s="536"/>
      <c r="AA31" s="275">
        <f t="shared" si="30"/>
        <v>0</v>
      </c>
      <c r="AB31" s="535"/>
      <c r="AC31" s="536"/>
      <c r="AD31" s="275">
        <f t="shared" si="31"/>
        <v>0</v>
      </c>
      <c r="AE31" s="535"/>
      <c r="AF31" s="536"/>
      <c r="AG31" s="275">
        <f t="shared" si="32"/>
        <v>0</v>
      </c>
      <c r="AH31" s="535"/>
      <c r="AI31" s="536"/>
      <c r="AJ31" s="275">
        <f t="shared" si="33"/>
        <v>0</v>
      </c>
      <c r="AK31" s="535"/>
      <c r="AL31" s="536"/>
      <c r="AM31" s="275">
        <f t="shared" si="34"/>
        <v>0</v>
      </c>
      <c r="AN31" s="535"/>
      <c r="AO31" s="536"/>
      <c r="AP31" s="275">
        <f t="shared" si="35"/>
        <v>0</v>
      </c>
      <c r="AQ31" s="535"/>
      <c r="AR31" s="536"/>
      <c r="AS31" s="275">
        <f t="shared" si="36"/>
        <v>0</v>
      </c>
      <c r="AT31" s="535"/>
      <c r="AU31" s="536"/>
      <c r="AV31" s="275">
        <f t="shared" si="37"/>
        <v>0</v>
      </c>
      <c r="AW31" s="535"/>
      <c r="AX31" s="536"/>
      <c r="AY31" s="275">
        <f t="shared" si="38"/>
        <v>0</v>
      </c>
      <c r="AZ31" s="535"/>
      <c r="BA31" s="536"/>
      <c r="BB31" s="275">
        <f t="shared" si="39"/>
        <v>0</v>
      </c>
      <c r="BC31" s="535"/>
      <c r="BD31" s="536"/>
      <c r="BE31" s="275">
        <f t="shared" si="40"/>
        <v>0</v>
      </c>
      <c r="BF31" s="535"/>
      <c r="BG31" s="536"/>
      <c r="BH31" s="275">
        <f t="shared" si="41"/>
        <v>0</v>
      </c>
      <c r="BI31" s="535"/>
      <c r="BJ31" s="536"/>
      <c r="BK31" s="275">
        <f t="shared" si="42"/>
        <v>0</v>
      </c>
      <c r="BL31" s="535"/>
      <c r="BM31" s="536"/>
      <c r="BN31" s="275">
        <f t="shared" si="43"/>
        <v>0</v>
      </c>
      <c r="BO31" s="535"/>
      <c r="BP31" s="536"/>
      <c r="BQ31" s="275">
        <f t="shared" si="44"/>
        <v>0</v>
      </c>
    </row>
    <row r="32" spans="1:70">
      <c r="A32" s="666"/>
      <c r="B32" s="670"/>
      <c r="C32" s="24" t="s">
        <v>32</v>
      </c>
      <c r="D32" s="272"/>
      <c r="E32" s="273"/>
      <c r="F32" s="274"/>
      <c r="G32" s="535"/>
      <c r="H32" s="536"/>
      <c r="I32" s="275">
        <f t="shared" si="24"/>
        <v>0</v>
      </c>
      <c r="J32" s="535"/>
      <c r="K32" s="536"/>
      <c r="L32" s="275">
        <f t="shared" si="25"/>
        <v>0</v>
      </c>
      <c r="M32" s="535"/>
      <c r="N32" s="536"/>
      <c r="O32" s="275">
        <f t="shared" si="26"/>
        <v>0</v>
      </c>
      <c r="P32" s="535"/>
      <c r="Q32" s="536"/>
      <c r="R32" s="275">
        <f t="shared" si="27"/>
        <v>0</v>
      </c>
      <c r="S32" s="535"/>
      <c r="T32" s="536"/>
      <c r="U32" s="275">
        <f t="shared" si="28"/>
        <v>0</v>
      </c>
      <c r="V32" s="535"/>
      <c r="W32" s="536"/>
      <c r="X32" s="275">
        <f t="shared" si="29"/>
        <v>0</v>
      </c>
      <c r="Y32" s="535"/>
      <c r="Z32" s="536"/>
      <c r="AA32" s="275">
        <f t="shared" si="30"/>
        <v>0</v>
      </c>
      <c r="AB32" s="535"/>
      <c r="AC32" s="536"/>
      <c r="AD32" s="275">
        <f t="shared" si="31"/>
        <v>0</v>
      </c>
      <c r="AE32" s="535"/>
      <c r="AF32" s="536"/>
      <c r="AG32" s="275">
        <f t="shared" si="32"/>
        <v>0</v>
      </c>
      <c r="AH32" s="535"/>
      <c r="AI32" s="536"/>
      <c r="AJ32" s="275">
        <f t="shared" si="33"/>
        <v>0</v>
      </c>
      <c r="AK32" s="535"/>
      <c r="AL32" s="536"/>
      <c r="AM32" s="275">
        <f t="shared" si="34"/>
        <v>0</v>
      </c>
      <c r="AN32" s="535"/>
      <c r="AO32" s="536"/>
      <c r="AP32" s="275">
        <f t="shared" si="35"/>
        <v>0</v>
      </c>
      <c r="AQ32" s="535"/>
      <c r="AR32" s="536"/>
      <c r="AS32" s="275">
        <f t="shared" si="36"/>
        <v>0</v>
      </c>
      <c r="AT32" s="535"/>
      <c r="AU32" s="536"/>
      <c r="AV32" s="275">
        <f t="shared" si="37"/>
        <v>0</v>
      </c>
      <c r="AW32" s="535"/>
      <c r="AX32" s="536"/>
      <c r="AY32" s="275">
        <f t="shared" si="38"/>
        <v>0</v>
      </c>
      <c r="AZ32" s="535"/>
      <c r="BA32" s="536"/>
      <c r="BB32" s="275">
        <f t="shared" si="39"/>
        <v>0</v>
      </c>
      <c r="BC32" s="535"/>
      <c r="BD32" s="536"/>
      <c r="BE32" s="275">
        <f t="shared" si="40"/>
        <v>0</v>
      </c>
      <c r="BF32" s="535"/>
      <c r="BG32" s="536"/>
      <c r="BH32" s="275">
        <f t="shared" si="41"/>
        <v>0</v>
      </c>
      <c r="BI32" s="535"/>
      <c r="BJ32" s="536"/>
      <c r="BK32" s="275">
        <f t="shared" si="42"/>
        <v>0</v>
      </c>
      <c r="BL32" s="535"/>
      <c r="BM32" s="536"/>
      <c r="BN32" s="275">
        <f t="shared" si="43"/>
        <v>0</v>
      </c>
      <c r="BO32" s="535"/>
      <c r="BP32" s="536"/>
      <c r="BQ32" s="275">
        <f t="shared" si="44"/>
        <v>0</v>
      </c>
    </row>
    <row r="33" spans="1:70">
      <c r="A33" s="666"/>
      <c r="B33" s="670"/>
      <c r="C33" s="24" t="s">
        <v>33</v>
      </c>
      <c r="D33" s="272"/>
      <c r="E33" s="273"/>
      <c r="F33" s="274"/>
      <c r="G33" s="535"/>
      <c r="H33" s="536"/>
      <c r="I33" s="275">
        <f t="shared" si="24"/>
        <v>0</v>
      </c>
      <c r="J33" s="535"/>
      <c r="K33" s="536"/>
      <c r="L33" s="275">
        <f t="shared" si="25"/>
        <v>0</v>
      </c>
      <c r="M33" s="535"/>
      <c r="N33" s="536"/>
      <c r="O33" s="275">
        <f t="shared" si="26"/>
        <v>0</v>
      </c>
      <c r="P33" s="535"/>
      <c r="Q33" s="536"/>
      <c r="R33" s="275">
        <f t="shared" si="27"/>
        <v>0</v>
      </c>
      <c r="S33" s="535"/>
      <c r="T33" s="536"/>
      <c r="U33" s="275">
        <f t="shared" si="28"/>
        <v>0</v>
      </c>
      <c r="V33" s="535"/>
      <c r="W33" s="536"/>
      <c r="X33" s="275">
        <f t="shared" si="29"/>
        <v>0</v>
      </c>
      <c r="Y33" s="535"/>
      <c r="Z33" s="536"/>
      <c r="AA33" s="275">
        <f t="shared" si="30"/>
        <v>0</v>
      </c>
      <c r="AB33" s="535"/>
      <c r="AC33" s="536"/>
      <c r="AD33" s="275">
        <f t="shared" si="31"/>
        <v>0</v>
      </c>
      <c r="AE33" s="535"/>
      <c r="AF33" s="536"/>
      <c r="AG33" s="275">
        <f t="shared" si="32"/>
        <v>0</v>
      </c>
      <c r="AH33" s="535"/>
      <c r="AI33" s="536"/>
      <c r="AJ33" s="275">
        <f t="shared" si="33"/>
        <v>0</v>
      </c>
      <c r="AK33" s="535"/>
      <c r="AL33" s="536"/>
      <c r="AM33" s="275">
        <f t="shared" si="34"/>
        <v>0</v>
      </c>
      <c r="AN33" s="535"/>
      <c r="AO33" s="536"/>
      <c r="AP33" s="275">
        <f t="shared" si="35"/>
        <v>0</v>
      </c>
      <c r="AQ33" s="535"/>
      <c r="AR33" s="536"/>
      <c r="AS33" s="275">
        <f t="shared" si="36"/>
        <v>0</v>
      </c>
      <c r="AT33" s="535"/>
      <c r="AU33" s="536"/>
      <c r="AV33" s="275">
        <f t="shared" si="37"/>
        <v>0</v>
      </c>
      <c r="AW33" s="535"/>
      <c r="AX33" s="536"/>
      <c r="AY33" s="275">
        <f t="shared" si="38"/>
        <v>0</v>
      </c>
      <c r="AZ33" s="535"/>
      <c r="BA33" s="536"/>
      <c r="BB33" s="275">
        <f t="shared" si="39"/>
        <v>0</v>
      </c>
      <c r="BC33" s="535"/>
      <c r="BD33" s="536"/>
      <c r="BE33" s="275">
        <f t="shared" si="40"/>
        <v>0</v>
      </c>
      <c r="BF33" s="535"/>
      <c r="BG33" s="536"/>
      <c r="BH33" s="275">
        <f t="shared" si="41"/>
        <v>0</v>
      </c>
      <c r="BI33" s="535"/>
      <c r="BJ33" s="536"/>
      <c r="BK33" s="275">
        <f t="shared" si="42"/>
        <v>0</v>
      </c>
      <c r="BL33" s="535"/>
      <c r="BM33" s="536"/>
      <c r="BN33" s="275">
        <f t="shared" si="43"/>
        <v>0</v>
      </c>
      <c r="BO33" s="535"/>
      <c r="BP33" s="536"/>
      <c r="BQ33" s="275">
        <f t="shared" si="44"/>
        <v>0</v>
      </c>
    </row>
    <row r="34" spans="1:70" ht="15.75" thickBot="1">
      <c r="A34" s="667"/>
      <c r="B34" s="671"/>
      <c r="C34" s="263" t="s">
        <v>34</v>
      </c>
      <c r="D34" s="276"/>
      <c r="E34" s="277"/>
      <c r="F34" s="278"/>
      <c r="G34" s="537"/>
      <c r="H34" s="538"/>
      <c r="I34" s="279">
        <f t="shared" si="24"/>
        <v>0</v>
      </c>
      <c r="J34" s="537"/>
      <c r="K34" s="538"/>
      <c r="L34" s="279">
        <f t="shared" si="25"/>
        <v>0</v>
      </c>
      <c r="M34" s="537"/>
      <c r="N34" s="538"/>
      <c r="O34" s="279">
        <f t="shared" si="26"/>
        <v>0</v>
      </c>
      <c r="P34" s="537"/>
      <c r="Q34" s="538"/>
      <c r="R34" s="279">
        <f t="shared" si="27"/>
        <v>0</v>
      </c>
      <c r="S34" s="537"/>
      <c r="T34" s="538"/>
      <c r="U34" s="279">
        <f t="shared" si="28"/>
        <v>0</v>
      </c>
      <c r="V34" s="537"/>
      <c r="W34" s="538"/>
      <c r="X34" s="279">
        <f t="shared" si="29"/>
        <v>0</v>
      </c>
      <c r="Y34" s="537"/>
      <c r="Z34" s="538"/>
      <c r="AA34" s="279">
        <f t="shared" si="30"/>
        <v>0</v>
      </c>
      <c r="AB34" s="537"/>
      <c r="AC34" s="538"/>
      <c r="AD34" s="279">
        <f t="shared" si="31"/>
        <v>0</v>
      </c>
      <c r="AE34" s="537"/>
      <c r="AF34" s="538"/>
      <c r="AG34" s="279">
        <f t="shared" si="32"/>
        <v>0</v>
      </c>
      <c r="AH34" s="537"/>
      <c r="AI34" s="538"/>
      <c r="AJ34" s="279">
        <f t="shared" si="33"/>
        <v>0</v>
      </c>
      <c r="AK34" s="537"/>
      <c r="AL34" s="538"/>
      <c r="AM34" s="279">
        <f t="shared" si="34"/>
        <v>0</v>
      </c>
      <c r="AN34" s="537"/>
      <c r="AO34" s="538"/>
      <c r="AP34" s="279">
        <f t="shared" si="35"/>
        <v>0</v>
      </c>
      <c r="AQ34" s="537"/>
      <c r="AR34" s="538"/>
      <c r="AS34" s="279">
        <f t="shared" si="36"/>
        <v>0</v>
      </c>
      <c r="AT34" s="537"/>
      <c r="AU34" s="538"/>
      <c r="AV34" s="279">
        <f t="shared" si="37"/>
        <v>0</v>
      </c>
      <c r="AW34" s="537"/>
      <c r="AX34" s="538"/>
      <c r="AY34" s="279">
        <f t="shared" si="38"/>
        <v>0</v>
      </c>
      <c r="AZ34" s="537"/>
      <c r="BA34" s="538"/>
      <c r="BB34" s="279">
        <f t="shared" si="39"/>
        <v>0</v>
      </c>
      <c r="BC34" s="537"/>
      <c r="BD34" s="538"/>
      <c r="BE34" s="279">
        <f t="shared" si="40"/>
        <v>0</v>
      </c>
      <c r="BF34" s="537"/>
      <c r="BG34" s="538"/>
      <c r="BH34" s="279">
        <f t="shared" si="41"/>
        <v>0</v>
      </c>
      <c r="BI34" s="537"/>
      <c r="BJ34" s="538"/>
      <c r="BK34" s="279">
        <f t="shared" si="42"/>
        <v>0</v>
      </c>
      <c r="BL34" s="537"/>
      <c r="BM34" s="538"/>
      <c r="BN34" s="279">
        <f t="shared" si="43"/>
        <v>0</v>
      </c>
      <c r="BO34" s="537"/>
      <c r="BP34" s="538"/>
      <c r="BQ34" s="279">
        <f t="shared" si="44"/>
        <v>0</v>
      </c>
    </row>
    <row r="35" spans="1:70" s="281" customFormat="1" ht="14.45" customHeight="1">
      <c r="A35" s="665" t="s">
        <v>153</v>
      </c>
      <c r="B35" s="669" t="s">
        <v>146</v>
      </c>
      <c r="C35" s="251" t="s">
        <v>25</v>
      </c>
      <c r="D35" s="435">
        <f t="shared" ref="D35:D44" si="45">SUM(G35,J35,M35,P35,S35,V35,Y35,AB35,AE35,AH35,AK35,AN35,AQ35,AT35,AW35,AZ35,AZ35,BC35,BF35,BI35,BL35,BO35)</f>
        <v>0</v>
      </c>
      <c r="E35" s="436">
        <f t="shared" ref="E35:E44" si="46">SUM(H35,K35,N35,Q35,T35,W35,Z35,AC35,AF35,AI35,AL35,AO35,AR35,AU35,AX35,BA35,BA35,BD35,BG35,BJ35,BM35,BP35)</f>
        <v>0</v>
      </c>
      <c r="F35" s="270">
        <f>D35-E35</f>
        <v>0</v>
      </c>
      <c r="G35" s="533"/>
      <c r="H35" s="534"/>
      <c r="I35" s="271">
        <f t="shared" si="24"/>
        <v>0</v>
      </c>
      <c r="J35" s="533"/>
      <c r="K35" s="534"/>
      <c r="L35" s="271">
        <f t="shared" si="25"/>
        <v>0</v>
      </c>
      <c r="M35" s="533"/>
      <c r="N35" s="534"/>
      <c r="O35" s="271">
        <f t="shared" si="26"/>
        <v>0</v>
      </c>
      <c r="P35" s="533"/>
      <c r="Q35" s="534"/>
      <c r="R35" s="271">
        <f t="shared" si="27"/>
        <v>0</v>
      </c>
      <c r="S35" s="533"/>
      <c r="T35" s="534"/>
      <c r="U35" s="271">
        <f t="shared" si="28"/>
        <v>0</v>
      </c>
      <c r="V35" s="533"/>
      <c r="W35" s="534"/>
      <c r="X35" s="271">
        <f t="shared" si="29"/>
        <v>0</v>
      </c>
      <c r="Y35" s="533"/>
      <c r="Z35" s="534"/>
      <c r="AA35" s="271">
        <f t="shared" si="30"/>
        <v>0</v>
      </c>
      <c r="AB35" s="533"/>
      <c r="AC35" s="534"/>
      <c r="AD35" s="271">
        <f t="shared" si="31"/>
        <v>0</v>
      </c>
      <c r="AE35" s="533"/>
      <c r="AF35" s="534"/>
      <c r="AG35" s="271">
        <f t="shared" si="32"/>
        <v>0</v>
      </c>
      <c r="AH35" s="533"/>
      <c r="AI35" s="534"/>
      <c r="AJ35" s="271">
        <f t="shared" si="33"/>
        <v>0</v>
      </c>
      <c r="AK35" s="533"/>
      <c r="AL35" s="534"/>
      <c r="AM35" s="271">
        <f t="shared" si="34"/>
        <v>0</v>
      </c>
      <c r="AN35" s="533"/>
      <c r="AO35" s="534"/>
      <c r="AP35" s="271">
        <f t="shared" si="35"/>
        <v>0</v>
      </c>
      <c r="AQ35" s="533"/>
      <c r="AR35" s="534"/>
      <c r="AS35" s="271">
        <f t="shared" si="36"/>
        <v>0</v>
      </c>
      <c r="AT35" s="533"/>
      <c r="AU35" s="534"/>
      <c r="AV35" s="271">
        <f t="shared" si="37"/>
        <v>0</v>
      </c>
      <c r="AW35" s="533"/>
      <c r="AX35" s="534"/>
      <c r="AY35" s="271">
        <f t="shared" si="38"/>
        <v>0</v>
      </c>
      <c r="AZ35" s="533"/>
      <c r="BA35" s="534"/>
      <c r="BB35" s="271">
        <f t="shared" si="39"/>
        <v>0</v>
      </c>
      <c r="BC35" s="533"/>
      <c r="BD35" s="534"/>
      <c r="BE35" s="271">
        <f t="shared" si="40"/>
        <v>0</v>
      </c>
      <c r="BF35" s="533"/>
      <c r="BG35" s="534"/>
      <c r="BH35" s="271">
        <f t="shared" si="41"/>
        <v>0</v>
      </c>
      <c r="BI35" s="533"/>
      <c r="BJ35" s="534"/>
      <c r="BK35" s="271">
        <f t="shared" si="42"/>
        <v>0</v>
      </c>
      <c r="BL35" s="533"/>
      <c r="BM35" s="534"/>
      <c r="BN35" s="271">
        <f t="shared" si="43"/>
        <v>0</v>
      </c>
      <c r="BO35" s="533"/>
      <c r="BP35" s="534"/>
      <c r="BQ35" s="271">
        <f t="shared" si="44"/>
        <v>0</v>
      </c>
      <c r="BR35" s="280">
        <f>'Analyza citlivosti - AgendovéIS'!N7</f>
        <v>0</v>
      </c>
    </row>
    <row r="36" spans="1:70">
      <c r="A36" s="666"/>
      <c r="B36" s="670"/>
      <c r="C36" s="24" t="s">
        <v>26</v>
      </c>
      <c r="D36" s="437">
        <f t="shared" si="45"/>
        <v>0</v>
      </c>
      <c r="E36" s="438">
        <f t="shared" si="46"/>
        <v>0</v>
      </c>
      <c r="F36" s="274">
        <f t="shared" ref="F36:F44" si="47">D36-E36</f>
        <v>0</v>
      </c>
      <c r="G36" s="535"/>
      <c r="H36" s="536"/>
      <c r="I36" s="275">
        <f t="shared" si="24"/>
        <v>0</v>
      </c>
      <c r="J36" s="535"/>
      <c r="K36" s="536"/>
      <c r="L36" s="275">
        <f t="shared" si="25"/>
        <v>0</v>
      </c>
      <c r="M36" s="535"/>
      <c r="N36" s="536"/>
      <c r="O36" s="275">
        <f t="shared" si="26"/>
        <v>0</v>
      </c>
      <c r="P36" s="535"/>
      <c r="Q36" s="536"/>
      <c r="R36" s="275">
        <f t="shared" si="27"/>
        <v>0</v>
      </c>
      <c r="S36" s="535"/>
      <c r="T36" s="536"/>
      <c r="U36" s="275">
        <f t="shared" si="28"/>
        <v>0</v>
      </c>
      <c r="V36" s="535"/>
      <c r="W36" s="536"/>
      <c r="X36" s="275">
        <f t="shared" si="29"/>
        <v>0</v>
      </c>
      <c r="Y36" s="535"/>
      <c r="Z36" s="536"/>
      <c r="AA36" s="275">
        <f t="shared" si="30"/>
        <v>0</v>
      </c>
      <c r="AB36" s="535"/>
      <c r="AC36" s="536"/>
      <c r="AD36" s="275">
        <f t="shared" si="31"/>
        <v>0</v>
      </c>
      <c r="AE36" s="535"/>
      <c r="AF36" s="536"/>
      <c r="AG36" s="275">
        <f t="shared" si="32"/>
        <v>0</v>
      </c>
      <c r="AH36" s="535"/>
      <c r="AI36" s="536"/>
      <c r="AJ36" s="275">
        <f t="shared" si="33"/>
        <v>0</v>
      </c>
      <c r="AK36" s="535"/>
      <c r="AL36" s="536"/>
      <c r="AM36" s="275">
        <f t="shared" si="34"/>
        <v>0</v>
      </c>
      <c r="AN36" s="535"/>
      <c r="AO36" s="536"/>
      <c r="AP36" s="275">
        <f t="shared" si="35"/>
        <v>0</v>
      </c>
      <c r="AQ36" s="535"/>
      <c r="AR36" s="536"/>
      <c r="AS36" s="275">
        <f t="shared" si="36"/>
        <v>0</v>
      </c>
      <c r="AT36" s="535"/>
      <c r="AU36" s="536"/>
      <c r="AV36" s="275">
        <f t="shared" si="37"/>
        <v>0</v>
      </c>
      <c r="AW36" s="535"/>
      <c r="AX36" s="536"/>
      <c r="AY36" s="275">
        <f t="shared" si="38"/>
        <v>0</v>
      </c>
      <c r="AZ36" s="535"/>
      <c r="BA36" s="536"/>
      <c r="BB36" s="275">
        <f t="shared" si="39"/>
        <v>0</v>
      </c>
      <c r="BC36" s="535"/>
      <c r="BD36" s="536"/>
      <c r="BE36" s="275">
        <f t="shared" si="40"/>
        <v>0</v>
      </c>
      <c r="BF36" s="535"/>
      <c r="BG36" s="536"/>
      <c r="BH36" s="275">
        <f t="shared" si="41"/>
        <v>0</v>
      </c>
      <c r="BI36" s="535"/>
      <c r="BJ36" s="536"/>
      <c r="BK36" s="275">
        <f t="shared" si="42"/>
        <v>0</v>
      </c>
      <c r="BL36" s="535"/>
      <c r="BM36" s="536"/>
      <c r="BN36" s="275">
        <f t="shared" si="43"/>
        <v>0</v>
      </c>
      <c r="BO36" s="535"/>
      <c r="BP36" s="536"/>
      <c r="BQ36" s="275">
        <f t="shared" si="44"/>
        <v>0</v>
      </c>
    </row>
    <row r="37" spans="1:70">
      <c r="A37" s="666"/>
      <c r="B37" s="670"/>
      <c r="C37" s="24" t="s">
        <v>27</v>
      </c>
      <c r="D37" s="437">
        <f t="shared" si="45"/>
        <v>84</v>
      </c>
      <c r="E37" s="438">
        <f t="shared" si="46"/>
        <v>2.1000000000000005</v>
      </c>
      <c r="F37" s="274">
        <f t="shared" si="47"/>
        <v>81.900000000000006</v>
      </c>
      <c r="G37" s="535">
        <v>4</v>
      </c>
      <c r="H37" s="536">
        <v>0.1</v>
      </c>
      <c r="I37" s="275">
        <f t="shared" si="24"/>
        <v>-3.9</v>
      </c>
      <c r="J37" s="535">
        <v>4</v>
      </c>
      <c r="K37" s="536">
        <v>0.1</v>
      </c>
      <c r="L37" s="275">
        <f t="shared" si="25"/>
        <v>-3.9</v>
      </c>
      <c r="M37" s="535">
        <v>4</v>
      </c>
      <c r="N37" s="536">
        <v>0.1</v>
      </c>
      <c r="O37" s="275">
        <f t="shared" si="26"/>
        <v>-3.9</v>
      </c>
      <c r="P37" s="535">
        <v>4</v>
      </c>
      <c r="Q37" s="536">
        <v>0.1</v>
      </c>
      <c r="R37" s="275">
        <f t="shared" si="27"/>
        <v>-3.9</v>
      </c>
      <c r="S37" s="535">
        <v>4</v>
      </c>
      <c r="T37" s="536">
        <v>0.1</v>
      </c>
      <c r="U37" s="275">
        <f t="shared" si="28"/>
        <v>-3.9</v>
      </c>
      <c r="V37" s="535">
        <v>4</v>
      </c>
      <c r="W37" s="536">
        <v>0.1</v>
      </c>
      <c r="X37" s="275">
        <f t="shared" si="29"/>
        <v>-3.9</v>
      </c>
      <c r="Y37" s="535">
        <v>4</v>
      </c>
      <c r="Z37" s="536">
        <v>0.1</v>
      </c>
      <c r="AA37" s="275">
        <f t="shared" si="30"/>
        <v>-3.9</v>
      </c>
      <c r="AB37" s="535">
        <v>4</v>
      </c>
      <c r="AC37" s="536">
        <v>0.1</v>
      </c>
      <c r="AD37" s="275">
        <f t="shared" si="31"/>
        <v>-3.9</v>
      </c>
      <c r="AE37" s="535">
        <v>4</v>
      </c>
      <c r="AF37" s="536">
        <v>0.1</v>
      </c>
      <c r="AG37" s="275">
        <f t="shared" si="32"/>
        <v>-3.9</v>
      </c>
      <c r="AH37" s="535">
        <v>4</v>
      </c>
      <c r="AI37" s="536">
        <v>0.1</v>
      </c>
      <c r="AJ37" s="275">
        <f t="shared" si="33"/>
        <v>-3.9</v>
      </c>
      <c r="AK37" s="535">
        <v>4</v>
      </c>
      <c r="AL37" s="536">
        <v>0.1</v>
      </c>
      <c r="AM37" s="275">
        <f t="shared" si="34"/>
        <v>-3.9</v>
      </c>
      <c r="AN37" s="535">
        <v>4</v>
      </c>
      <c r="AO37" s="536">
        <v>0.1</v>
      </c>
      <c r="AP37" s="275">
        <f t="shared" si="35"/>
        <v>-3.9</v>
      </c>
      <c r="AQ37" s="535">
        <v>4</v>
      </c>
      <c r="AR37" s="536">
        <v>0.1</v>
      </c>
      <c r="AS37" s="275">
        <f t="shared" si="36"/>
        <v>-3.9</v>
      </c>
      <c r="AT37" s="535">
        <v>4</v>
      </c>
      <c r="AU37" s="536">
        <v>0.1</v>
      </c>
      <c r="AV37" s="275">
        <f t="shared" si="37"/>
        <v>-3.9</v>
      </c>
      <c r="AW37" s="535">
        <v>4</v>
      </c>
      <c r="AX37" s="536">
        <v>0.1</v>
      </c>
      <c r="AY37" s="275">
        <f t="shared" si="38"/>
        <v>-3.9</v>
      </c>
      <c r="AZ37" s="535">
        <v>4</v>
      </c>
      <c r="BA37" s="536">
        <v>0.1</v>
      </c>
      <c r="BB37" s="275">
        <f t="shared" si="39"/>
        <v>-3.9</v>
      </c>
      <c r="BC37" s="535">
        <v>4</v>
      </c>
      <c r="BD37" s="536">
        <v>0.1</v>
      </c>
      <c r="BE37" s="275">
        <f t="shared" si="40"/>
        <v>-3.9</v>
      </c>
      <c r="BF37" s="535">
        <v>4</v>
      </c>
      <c r="BG37" s="536">
        <v>0.1</v>
      </c>
      <c r="BH37" s="275">
        <f t="shared" si="41"/>
        <v>-3.9</v>
      </c>
      <c r="BI37" s="535">
        <v>4</v>
      </c>
      <c r="BJ37" s="536">
        <v>0.1</v>
      </c>
      <c r="BK37" s="275">
        <f t="shared" si="42"/>
        <v>-3.9</v>
      </c>
      <c r="BL37" s="535">
        <v>4</v>
      </c>
      <c r="BM37" s="536">
        <v>0.1</v>
      </c>
      <c r="BN37" s="275">
        <f t="shared" si="43"/>
        <v>-3.9</v>
      </c>
      <c r="BO37" s="535"/>
      <c r="BP37" s="536"/>
      <c r="BQ37" s="275">
        <f t="shared" si="44"/>
        <v>0</v>
      </c>
    </row>
    <row r="38" spans="1:70">
      <c r="A38" s="666"/>
      <c r="B38" s="670"/>
      <c r="C38" s="24" t="s">
        <v>28</v>
      </c>
      <c r="D38" s="437">
        <f t="shared" si="45"/>
        <v>84</v>
      </c>
      <c r="E38" s="438">
        <f t="shared" si="46"/>
        <v>2.1000000000000005</v>
      </c>
      <c r="F38" s="274">
        <f t="shared" si="47"/>
        <v>81.900000000000006</v>
      </c>
      <c r="G38" s="535">
        <v>4</v>
      </c>
      <c r="H38" s="536">
        <v>0.1</v>
      </c>
      <c r="I38" s="275">
        <f t="shared" si="24"/>
        <v>-3.9</v>
      </c>
      <c r="J38" s="535">
        <v>4</v>
      </c>
      <c r="K38" s="536">
        <v>0.1</v>
      </c>
      <c r="L38" s="275">
        <f t="shared" si="25"/>
        <v>-3.9</v>
      </c>
      <c r="M38" s="535">
        <v>4</v>
      </c>
      <c r="N38" s="536">
        <v>0.1</v>
      </c>
      <c r="O38" s="275">
        <f t="shared" si="26"/>
        <v>-3.9</v>
      </c>
      <c r="P38" s="535">
        <v>4</v>
      </c>
      <c r="Q38" s="536">
        <v>0.1</v>
      </c>
      <c r="R38" s="275">
        <f t="shared" si="27"/>
        <v>-3.9</v>
      </c>
      <c r="S38" s="535">
        <v>4</v>
      </c>
      <c r="T38" s="536">
        <v>0.1</v>
      </c>
      <c r="U38" s="275">
        <f t="shared" si="28"/>
        <v>-3.9</v>
      </c>
      <c r="V38" s="535">
        <v>4</v>
      </c>
      <c r="W38" s="536">
        <v>0.1</v>
      </c>
      <c r="X38" s="275">
        <f t="shared" si="29"/>
        <v>-3.9</v>
      </c>
      <c r="Y38" s="535">
        <v>4</v>
      </c>
      <c r="Z38" s="536">
        <v>0.1</v>
      </c>
      <c r="AA38" s="275">
        <f t="shared" si="30"/>
        <v>-3.9</v>
      </c>
      <c r="AB38" s="535">
        <v>4</v>
      </c>
      <c r="AC38" s="536">
        <v>0.1</v>
      </c>
      <c r="AD38" s="275">
        <f t="shared" si="31"/>
        <v>-3.9</v>
      </c>
      <c r="AE38" s="535">
        <v>4</v>
      </c>
      <c r="AF38" s="536">
        <v>0.1</v>
      </c>
      <c r="AG38" s="275">
        <f t="shared" si="32"/>
        <v>-3.9</v>
      </c>
      <c r="AH38" s="535">
        <v>4</v>
      </c>
      <c r="AI38" s="536">
        <v>0.1</v>
      </c>
      <c r="AJ38" s="275">
        <f t="shared" si="33"/>
        <v>-3.9</v>
      </c>
      <c r="AK38" s="535">
        <v>4</v>
      </c>
      <c r="AL38" s="536">
        <v>0.1</v>
      </c>
      <c r="AM38" s="275">
        <f t="shared" si="34"/>
        <v>-3.9</v>
      </c>
      <c r="AN38" s="535">
        <v>4</v>
      </c>
      <c r="AO38" s="536">
        <v>0.1</v>
      </c>
      <c r="AP38" s="275">
        <f t="shared" si="35"/>
        <v>-3.9</v>
      </c>
      <c r="AQ38" s="535">
        <v>4</v>
      </c>
      <c r="AR38" s="536">
        <v>0.1</v>
      </c>
      <c r="AS38" s="275">
        <f t="shared" si="36"/>
        <v>-3.9</v>
      </c>
      <c r="AT38" s="535">
        <v>4</v>
      </c>
      <c r="AU38" s="536">
        <v>0.1</v>
      </c>
      <c r="AV38" s="275">
        <f t="shared" si="37"/>
        <v>-3.9</v>
      </c>
      <c r="AW38" s="535">
        <v>4</v>
      </c>
      <c r="AX38" s="536">
        <v>0.1</v>
      </c>
      <c r="AY38" s="275">
        <f t="shared" si="38"/>
        <v>-3.9</v>
      </c>
      <c r="AZ38" s="535">
        <v>4</v>
      </c>
      <c r="BA38" s="536">
        <v>0.1</v>
      </c>
      <c r="BB38" s="275">
        <f t="shared" si="39"/>
        <v>-3.9</v>
      </c>
      <c r="BC38" s="535">
        <v>4</v>
      </c>
      <c r="BD38" s="536">
        <v>0.1</v>
      </c>
      <c r="BE38" s="275">
        <f t="shared" si="40"/>
        <v>-3.9</v>
      </c>
      <c r="BF38" s="535">
        <v>4</v>
      </c>
      <c r="BG38" s="536">
        <v>0.1</v>
      </c>
      <c r="BH38" s="275">
        <f t="shared" si="41"/>
        <v>-3.9</v>
      </c>
      <c r="BI38" s="535">
        <v>4</v>
      </c>
      <c r="BJ38" s="536">
        <v>0.1</v>
      </c>
      <c r="BK38" s="275">
        <f t="shared" si="42"/>
        <v>-3.9</v>
      </c>
      <c r="BL38" s="535">
        <v>4</v>
      </c>
      <c r="BM38" s="536">
        <v>0.1</v>
      </c>
      <c r="BN38" s="275">
        <f t="shared" si="43"/>
        <v>-3.9</v>
      </c>
      <c r="BO38" s="535"/>
      <c r="BP38" s="536"/>
      <c r="BQ38" s="275">
        <f t="shared" si="44"/>
        <v>0</v>
      </c>
    </row>
    <row r="39" spans="1:70">
      <c r="A39" s="666"/>
      <c r="B39" s="670"/>
      <c r="C39" s="24" t="s">
        <v>29</v>
      </c>
      <c r="D39" s="437">
        <f t="shared" si="45"/>
        <v>84</v>
      </c>
      <c r="E39" s="438">
        <f t="shared" si="46"/>
        <v>2.1000000000000005</v>
      </c>
      <c r="F39" s="274">
        <f t="shared" si="47"/>
        <v>81.900000000000006</v>
      </c>
      <c r="G39" s="535">
        <v>4</v>
      </c>
      <c r="H39" s="536">
        <v>0.1</v>
      </c>
      <c r="I39" s="275">
        <f t="shared" si="24"/>
        <v>-3.9</v>
      </c>
      <c r="J39" s="535">
        <v>4</v>
      </c>
      <c r="K39" s="536">
        <v>0.1</v>
      </c>
      <c r="L39" s="275">
        <f t="shared" si="25"/>
        <v>-3.9</v>
      </c>
      <c r="M39" s="535">
        <v>4</v>
      </c>
      <c r="N39" s="536">
        <v>0.1</v>
      </c>
      <c r="O39" s="275">
        <f t="shared" si="26"/>
        <v>-3.9</v>
      </c>
      <c r="P39" s="535">
        <v>4</v>
      </c>
      <c r="Q39" s="536">
        <v>0.1</v>
      </c>
      <c r="R39" s="275">
        <f t="shared" si="27"/>
        <v>-3.9</v>
      </c>
      <c r="S39" s="535">
        <v>4</v>
      </c>
      <c r="T39" s="536">
        <v>0.1</v>
      </c>
      <c r="U39" s="275">
        <f t="shared" si="28"/>
        <v>-3.9</v>
      </c>
      <c r="V39" s="535">
        <v>4</v>
      </c>
      <c r="W39" s="536">
        <v>0.1</v>
      </c>
      <c r="X39" s="275">
        <f t="shared" si="29"/>
        <v>-3.9</v>
      </c>
      <c r="Y39" s="535">
        <v>4</v>
      </c>
      <c r="Z39" s="536">
        <v>0.1</v>
      </c>
      <c r="AA39" s="275">
        <f t="shared" si="30"/>
        <v>-3.9</v>
      </c>
      <c r="AB39" s="535">
        <v>4</v>
      </c>
      <c r="AC39" s="536">
        <v>0.1</v>
      </c>
      <c r="AD39" s="275">
        <f t="shared" si="31"/>
        <v>-3.9</v>
      </c>
      <c r="AE39" s="535">
        <v>4</v>
      </c>
      <c r="AF39" s="536">
        <v>0.1</v>
      </c>
      <c r="AG39" s="275">
        <f t="shared" si="32"/>
        <v>-3.9</v>
      </c>
      <c r="AH39" s="535">
        <v>4</v>
      </c>
      <c r="AI39" s="536">
        <v>0.1</v>
      </c>
      <c r="AJ39" s="275">
        <f t="shared" si="33"/>
        <v>-3.9</v>
      </c>
      <c r="AK39" s="535">
        <v>4</v>
      </c>
      <c r="AL39" s="536">
        <v>0.1</v>
      </c>
      <c r="AM39" s="275">
        <f t="shared" si="34"/>
        <v>-3.9</v>
      </c>
      <c r="AN39" s="535">
        <v>4</v>
      </c>
      <c r="AO39" s="536">
        <v>0.1</v>
      </c>
      <c r="AP39" s="275">
        <f t="shared" si="35"/>
        <v>-3.9</v>
      </c>
      <c r="AQ39" s="535">
        <v>4</v>
      </c>
      <c r="AR39" s="536">
        <v>0.1</v>
      </c>
      <c r="AS39" s="275">
        <f t="shared" si="36"/>
        <v>-3.9</v>
      </c>
      <c r="AT39" s="535">
        <v>4</v>
      </c>
      <c r="AU39" s="536">
        <v>0.1</v>
      </c>
      <c r="AV39" s="275">
        <f t="shared" si="37"/>
        <v>-3.9</v>
      </c>
      <c r="AW39" s="535">
        <v>4</v>
      </c>
      <c r="AX39" s="536">
        <v>0.1</v>
      </c>
      <c r="AY39" s="275">
        <f t="shared" si="38"/>
        <v>-3.9</v>
      </c>
      <c r="AZ39" s="535">
        <v>4</v>
      </c>
      <c r="BA39" s="536">
        <v>0.1</v>
      </c>
      <c r="BB39" s="275">
        <f t="shared" si="39"/>
        <v>-3.9</v>
      </c>
      <c r="BC39" s="535">
        <v>4</v>
      </c>
      <c r="BD39" s="536">
        <v>0.1</v>
      </c>
      <c r="BE39" s="275">
        <f t="shared" si="40"/>
        <v>-3.9</v>
      </c>
      <c r="BF39" s="535">
        <v>4</v>
      </c>
      <c r="BG39" s="536">
        <v>0.1</v>
      </c>
      <c r="BH39" s="275">
        <f t="shared" si="41"/>
        <v>-3.9</v>
      </c>
      <c r="BI39" s="535">
        <v>4</v>
      </c>
      <c r="BJ39" s="536">
        <v>0.1</v>
      </c>
      <c r="BK39" s="275">
        <f t="shared" si="42"/>
        <v>-3.9</v>
      </c>
      <c r="BL39" s="535">
        <v>4</v>
      </c>
      <c r="BM39" s="536">
        <v>0.1</v>
      </c>
      <c r="BN39" s="275">
        <f t="shared" si="43"/>
        <v>-3.9</v>
      </c>
      <c r="BO39" s="535"/>
      <c r="BP39" s="536"/>
      <c r="BQ39" s="275">
        <f t="shared" si="44"/>
        <v>0</v>
      </c>
    </row>
    <row r="40" spans="1:70">
      <c r="A40" s="666"/>
      <c r="B40" s="670"/>
      <c r="C40" s="24" t="s">
        <v>30</v>
      </c>
      <c r="D40" s="437">
        <f t="shared" si="45"/>
        <v>84</v>
      </c>
      <c r="E40" s="438">
        <f t="shared" si="46"/>
        <v>2.1000000000000005</v>
      </c>
      <c r="F40" s="274">
        <f t="shared" si="47"/>
        <v>81.900000000000006</v>
      </c>
      <c r="G40" s="535">
        <v>4</v>
      </c>
      <c r="H40" s="536">
        <v>0.1</v>
      </c>
      <c r="I40" s="275">
        <f t="shared" si="24"/>
        <v>-3.9</v>
      </c>
      <c r="J40" s="535">
        <v>4</v>
      </c>
      <c r="K40" s="536">
        <v>0.1</v>
      </c>
      <c r="L40" s="275">
        <f t="shared" si="25"/>
        <v>-3.9</v>
      </c>
      <c r="M40" s="535">
        <v>4</v>
      </c>
      <c r="N40" s="536">
        <v>0.1</v>
      </c>
      <c r="O40" s="275">
        <f t="shared" si="26"/>
        <v>-3.9</v>
      </c>
      <c r="P40" s="535">
        <v>4</v>
      </c>
      <c r="Q40" s="536">
        <v>0.1</v>
      </c>
      <c r="R40" s="275">
        <f t="shared" si="27"/>
        <v>-3.9</v>
      </c>
      <c r="S40" s="535">
        <v>4</v>
      </c>
      <c r="T40" s="536">
        <v>0.1</v>
      </c>
      <c r="U40" s="275">
        <f t="shared" si="28"/>
        <v>-3.9</v>
      </c>
      <c r="V40" s="535">
        <v>4</v>
      </c>
      <c r="W40" s="536">
        <v>0.1</v>
      </c>
      <c r="X40" s="275">
        <f t="shared" si="29"/>
        <v>-3.9</v>
      </c>
      <c r="Y40" s="535">
        <v>4</v>
      </c>
      <c r="Z40" s="536">
        <v>0.1</v>
      </c>
      <c r="AA40" s="275">
        <f t="shared" si="30"/>
        <v>-3.9</v>
      </c>
      <c r="AB40" s="535">
        <v>4</v>
      </c>
      <c r="AC40" s="536">
        <v>0.1</v>
      </c>
      <c r="AD40" s="275">
        <f t="shared" si="31"/>
        <v>-3.9</v>
      </c>
      <c r="AE40" s="535">
        <v>4</v>
      </c>
      <c r="AF40" s="536">
        <v>0.1</v>
      </c>
      <c r="AG40" s="275">
        <f t="shared" si="32"/>
        <v>-3.9</v>
      </c>
      <c r="AH40" s="535">
        <v>4</v>
      </c>
      <c r="AI40" s="536">
        <v>0.1</v>
      </c>
      <c r="AJ40" s="275">
        <f t="shared" si="33"/>
        <v>-3.9</v>
      </c>
      <c r="AK40" s="535">
        <v>4</v>
      </c>
      <c r="AL40" s="536">
        <v>0.1</v>
      </c>
      <c r="AM40" s="275">
        <f t="shared" si="34"/>
        <v>-3.9</v>
      </c>
      <c r="AN40" s="535">
        <v>4</v>
      </c>
      <c r="AO40" s="536">
        <v>0.1</v>
      </c>
      <c r="AP40" s="275">
        <f t="shared" si="35"/>
        <v>-3.9</v>
      </c>
      <c r="AQ40" s="535">
        <v>4</v>
      </c>
      <c r="AR40" s="536">
        <v>0.1</v>
      </c>
      <c r="AS40" s="275">
        <f t="shared" si="36"/>
        <v>-3.9</v>
      </c>
      <c r="AT40" s="535">
        <v>4</v>
      </c>
      <c r="AU40" s="536">
        <v>0.1</v>
      </c>
      <c r="AV40" s="275">
        <f t="shared" si="37"/>
        <v>-3.9</v>
      </c>
      <c r="AW40" s="535">
        <v>4</v>
      </c>
      <c r="AX40" s="536">
        <v>0.1</v>
      </c>
      <c r="AY40" s="275">
        <f t="shared" si="38"/>
        <v>-3.9</v>
      </c>
      <c r="AZ40" s="535">
        <v>4</v>
      </c>
      <c r="BA40" s="536">
        <v>0.1</v>
      </c>
      <c r="BB40" s="275">
        <f t="shared" si="39"/>
        <v>-3.9</v>
      </c>
      <c r="BC40" s="535">
        <v>4</v>
      </c>
      <c r="BD40" s="536">
        <v>0.1</v>
      </c>
      <c r="BE40" s="275">
        <f t="shared" si="40"/>
        <v>-3.9</v>
      </c>
      <c r="BF40" s="535">
        <v>4</v>
      </c>
      <c r="BG40" s="536">
        <v>0.1</v>
      </c>
      <c r="BH40" s="275">
        <f t="shared" si="41"/>
        <v>-3.9</v>
      </c>
      <c r="BI40" s="535">
        <v>4</v>
      </c>
      <c r="BJ40" s="536">
        <v>0.1</v>
      </c>
      <c r="BK40" s="275">
        <f t="shared" si="42"/>
        <v>-3.9</v>
      </c>
      <c r="BL40" s="535">
        <v>4</v>
      </c>
      <c r="BM40" s="536">
        <v>0.1</v>
      </c>
      <c r="BN40" s="275">
        <f t="shared" si="43"/>
        <v>-3.9</v>
      </c>
      <c r="BO40" s="535"/>
      <c r="BP40" s="536"/>
      <c r="BQ40" s="275">
        <f t="shared" si="44"/>
        <v>0</v>
      </c>
    </row>
    <row r="41" spans="1:70">
      <c r="A41" s="666"/>
      <c r="B41" s="670"/>
      <c r="C41" s="24" t="s">
        <v>31</v>
      </c>
      <c r="D41" s="437">
        <f t="shared" si="45"/>
        <v>84</v>
      </c>
      <c r="E41" s="438">
        <f t="shared" si="46"/>
        <v>2.1000000000000005</v>
      </c>
      <c r="F41" s="274">
        <f t="shared" si="47"/>
        <v>81.900000000000006</v>
      </c>
      <c r="G41" s="535">
        <v>4</v>
      </c>
      <c r="H41" s="536">
        <v>0.1</v>
      </c>
      <c r="I41" s="275">
        <f t="shared" si="24"/>
        <v>-3.9</v>
      </c>
      <c r="J41" s="535">
        <v>4</v>
      </c>
      <c r="K41" s="536">
        <v>0.1</v>
      </c>
      <c r="L41" s="275">
        <f t="shared" si="25"/>
        <v>-3.9</v>
      </c>
      <c r="M41" s="535">
        <v>4</v>
      </c>
      <c r="N41" s="536">
        <v>0.1</v>
      </c>
      <c r="O41" s="275">
        <f t="shared" si="26"/>
        <v>-3.9</v>
      </c>
      <c r="P41" s="535">
        <v>4</v>
      </c>
      <c r="Q41" s="536">
        <v>0.1</v>
      </c>
      <c r="R41" s="275">
        <f t="shared" si="27"/>
        <v>-3.9</v>
      </c>
      <c r="S41" s="535">
        <v>4</v>
      </c>
      <c r="T41" s="536">
        <v>0.1</v>
      </c>
      <c r="U41" s="275">
        <f t="shared" si="28"/>
        <v>-3.9</v>
      </c>
      <c r="V41" s="535">
        <v>4</v>
      </c>
      <c r="W41" s="536">
        <v>0.1</v>
      </c>
      <c r="X41" s="275">
        <f t="shared" si="29"/>
        <v>-3.9</v>
      </c>
      <c r="Y41" s="535">
        <v>4</v>
      </c>
      <c r="Z41" s="536">
        <v>0.1</v>
      </c>
      <c r="AA41" s="275">
        <f t="shared" si="30"/>
        <v>-3.9</v>
      </c>
      <c r="AB41" s="535">
        <v>4</v>
      </c>
      <c r="AC41" s="536">
        <v>0.1</v>
      </c>
      <c r="AD41" s="275">
        <f t="shared" si="31"/>
        <v>-3.9</v>
      </c>
      <c r="AE41" s="535">
        <v>4</v>
      </c>
      <c r="AF41" s="536">
        <v>0.1</v>
      </c>
      <c r="AG41" s="275">
        <f t="shared" si="32"/>
        <v>-3.9</v>
      </c>
      <c r="AH41" s="535">
        <v>4</v>
      </c>
      <c r="AI41" s="536">
        <v>0.1</v>
      </c>
      <c r="AJ41" s="275">
        <f t="shared" si="33"/>
        <v>-3.9</v>
      </c>
      <c r="AK41" s="535">
        <v>4</v>
      </c>
      <c r="AL41" s="536">
        <v>0.1</v>
      </c>
      <c r="AM41" s="275">
        <f t="shared" si="34"/>
        <v>-3.9</v>
      </c>
      <c r="AN41" s="535">
        <v>4</v>
      </c>
      <c r="AO41" s="536">
        <v>0.1</v>
      </c>
      <c r="AP41" s="275">
        <f t="shared" si="35"/>
        <v>-3.9</v>
      </c>
      <c r="AQ41" s="535">
        <v>4</v>
      </c>
      <c r="AR41" s="536">
        <v>0.1</v>
      </c>
      <c r="AS41" s="275">
        <f t="shared" si="36"/>
        <v>-3.9</v>
      </c>
      <c r="AT41" s="535">
        <v>4</v>
      </c>
      <c r="AU41" s="536">
        <v>0.1</v>
      </c>
      <c r="AV41" s="275">
        <f t="shared" si="37"/>
        <v>-3.9</v>
      </c>
      <c r="AW41" s="535">
        <v>4</v>
      </c>
      <c r="AX41" s="536">
        <v>0.1</v>
      </c>
      <c r="AY41" s="275">
        <f t="shared" si="38"/>
        <v>-3.9</v>
      </c>
      <c r="AZ41" s="535">
        <v>4</v>
      </c>
      <c r="BA41" s="536">
        <v>0.1</v>
      </c>
      <c r="BB41" s="275">
        <f t="shared" si="39"/>
        <v>-3.9</v>
      </c>
      <c r="BC41" s="535">
        <v>4</v>
      </c>
      <c r="BD41" s="536">
        <v>0.1</v>
      </c>
      <c r="BE41" s="275">
        <f t="shared" si="40"/>
        <v>-3.9</v>
      </c>
      <c r="BF41" s="535">
        <v>4</v>
      </c>
      <c r="BG41" s="536">
        <v>0.1</v>
      </c>
      <c r="BH41" s="275">
        <f t="shared" si="41"/>
        <v>-3.9</v>
      </c>
      <c r="BI41" s="535">
        <v>4</v>
      </c>
      <c r="BJ41" s="536">
        <v>0.1</v>
      </c>
      <c r="BK41" s="275">
        <f t="shared" si="42"/>
        <v>-3.9</v>
      </c>
      <c r="BL41" s="535">
        <v>4</v>
      </c>
      <c r="BM41" s="536">
        <v>0.1</v>
      </c>
      <c r="BN41" s="275">
        <f t="shared" si="43"/>
        <v>-3.9</v>
      </c>
      <c r="BO41" s="535"/>
      <c r="BP41" s="536"/>
      <c r="BQ41" s="275">
        <f t="shared" si="44"/>
        <v>0</v>
      </c>
    </row>
    <row r="42" spans="1:70">
      <c r="A42" s="666"/>
      <c r="B42" s="670"/>
      <c r="C42" s="24" t="s">
        <v>32</v>
      </c>
      <c r="D42" s="437">
        <f t="shared" si="45"/>
        <v>84</v>
      </c>
      <c r="E42" s="438">
        <f t="shared" si="46"/>
        <v>2.1000000000000005</v>
      </c>
      <c r="F42" s="274">
        <f t="shared" si="47"/>
        <v>81.900000000000006</v>
      </c>
      <c r="G42" s="535">
        <v>4</v>
      </c>
      <c r="H42" s="536">
        <v>0.1</v>
      </c>
      <c r="I42" s="275">
        <f t="shared" si="24"/>
        <v>-3.9</v>
      </c>
      <c r="J42" s="535">
        <v>4</v>
      </c>
      <c r="K42" s="536">
        <v>0.1</v>
      </c>
      <c r="L42" s="275">
        <f t="shared" si="25"/>
        <v>-3.9</v>
      </c>
      <c r="M42" s="535">
        <v>4</v>
      </c>
      <c r="N42" s="536">
        <v>0.1</v>
      </c>
      <c r="O42" s="275">
        <f t="shared" si="26"/>
        <v>-3.9</v>
      </c>
      <c r="P42" s="535">
        <v>4</v>
      </c>
      <c r="Q42" s="536">
        <v>0.1</v>
      </c>
      <c r="R42" s="275">
        <f t="shared" si="27"/>
        <v>-3.9</v>
      </c>
      <c r="S42" s="535">
        <v>4</v>
      </c>
      <c r="T42" s="536">
        <v>0.1</v>
      </c>
      <c r="U42" s="275">
        <f t="shared" si="28"/>
        <v>-3.9</v>
      </c>
      <c r="V42" s="535">
        <v>4</v>
      </c>
      <c r="W42" s="536">
        <v>0.1</v>
      </c>
      <c r="X42" s="275">
        <f t="shared" si="29"/>
        <v>-3.9</v>
      </c>
      <c r="Y42" s="535">
        <v>4</v>
      </c>
      <c r="Z42" s="536">
        <v>0.1</v>
      </c>
      <c r="AA42" s="275">
        <f t="shared" si="30"/>
        <v>-3.9</v>
      </c>
      <c r="AB42" s="535">
        <v>4</v>
      </c>
      <c r="AC42" s="536">
        <v>0.1</v>
      </c>
      <c r="AD42" s="275">
        <f t="shared" si="31"/>
        <v>-3.9</v>
      </c>
      <c r="AE42" s="535">
        <v>4</v>
      </c>
      <c r="AF42" s="536">
        <v>0.1</v>
      </c>
      <c r="AG42" s="275">
        <f t="shared" si="32"/>
        <v>-3.9</v>
      </c>
      <c r="AH42" s="535">
        <v>4</v>
      </c>
      <c r="AI42" s="536">
        <v>0.1</v>
      </c>
      <c r="AJ42" s="275">
        <f t="shared" si="33"/>
        <v>-3.9</v>
      </c>
      <c r="AK42" s="535">
        <v>4</v>
      </c>
      <c r="AL42" s="536">
        <v>0.1</v>
      </c>
      <c r="AM42" s="275">
        <f t="shared" si="34"/>
        <v>-3.9</v>
      </c>
      <c r="AN42" s="535">
        <v>4</v>
      </c>
      <c r="AO42" s="536">
        <v>0.1</v>
      </c>
      <c r="AP42" s="275">
        <f t="shared" si="35"/>
        <v>-3.9</v>
      </c>
      <c r="AQ42" s="535">
        <v>4</v>
      </c>
      <c r="AR42" s="536">
        <v>0.1</v>
      </c>
      <c r="AS42" s="275">
        <f t="shared" si="36"/>
        <v>-3.9</v>
      </c>
      <c r="AT42" s="535">
        <v>4</v>
      </c>
      <c r="AU42" s="536">
        <v>0.1</v>
      </c>
      <c r="AV42" s="275">
        <f t="shared" si="37"/>
        <v>-3.9</v>
      </c>
      <c r="AW42" s="535">
        <v>4</v>
      </c>
      <c r="AX42" s="536">
        <v>0.1</v>
      </c>
      <c r="AY42" s="275">
        <f t="shared" si="38"/>
        <v>-3.9</v>
      </c>
      <c r="AZ42" s="535">
        <v>4</v>
      </c>
      <c r="BA42" s="536">
        <v>0.1</v>
      </c>
      <c r="BB42" s="275">
        <f t="shared" si="39"/>
        <v>-3.9</v>
      </c>
      <c r="BC42" s="535">
        <v>4</v>
      </c>
      <c r="BD42" s="536">
        <v>0.1</v>
      </c>
      <c r="BE42" s="275">
        <f t="shared" si="40"/>
        <v>-3.9</v>
      </c>
      <c r="BF42" s="535">
        <v>4</v>
      </c>
      <c r="BG42" s="536">
        <v>0.1</v>
      </c>
      <c r="BH42" s="275">
        <f t="shared" si="41"/>
        <v>-3.9</v>
      </c>
      <c r="BI42" s="535">
        <v>4</v>
      </c>
      <c r="BJ42" s="536">
        <v>0.1</v>
      </c>
      <c r="BK42" s="275">
        <f t="shared" si="42"/>
        <v>-3.9</v>
      </c>
      <c r="BL42" s="535">
        <v>4</v>
      </c>
      <c r="BM42" s="536">
        <v>0.1</v>
      </c>
      <c r="BN42" s="275">
        <f t="shared" si="43"/>
        <v>-3.9</v>
      </c>
      <c r="BO42" s="535"/>
      <c r="BP42" s="536"/>
      <c r="BQ42" s="275">
        <f t="shared" si="44"/>
        <v>0</v>
      </c>
    </row>
    <row r="43" spans="1:70">
      <c r="A43" s="666"/>
      <c r="B43" s="670"/>
      <c r="C43" s="24" t="s">
        <v>33</v>
      </c>
      <c r="D43" s="437">
        <f t="shared" si="45"/>
        <v>84</v>
      </c>
      <c r="E43" s="438">
        <f t="shared" si="46"/>
        <v>2.1000000000000005</v>
      </c>
      <c r="F43" s="274">
        <f t="shared" si="47"/>
        <v>81.900000000000006</v>
      </c>
      <c r="G43" s="535">
        <v>4</v>
      </c>
      <c r="H43" s="536">
        <v>0.1</v>
      </c>
      <c r="I43" s="275">
        <f t="shared" si="24"/>
        <v>-3.9</v>
      </c>
      <c r="J43" s="535">
        <v>4</v>
      </c>
      <c r="K43" s="536">
        <v>0.1</v>
      </c>
      <c r="L43" s="275">
        <f t="shared" si="25"/>
        <v>-3.9</v>
      </c>
      <c r="M43" s="535">
        <v>4</v>
      </c>
      <c r="N43" s="536">
        <v>0.1</v>
      </c>
      <c r="O43" s="275">
        <f t="shared" si="26"/>
        <v>-3.9</v>
      </c>
      <c r="P43" s="535">
        <v>4</v>
      </c>
      <c r="Q43" s="536">
        <v>0.1</v>
      </c>
      <c r="R43" s="275">
        <f t="shared" si="27"/>
        <v>-3.9</v>
      </c>
      <c r="S43" s="535">
        <v>4</v>
      </c>
      <c r="T43" s="536">
        <v>0.1</v>
      </c>
      <c r="U43" s="275">
        <f t="shared" si="28"/>
        <v>-3.9</v>
      </c>
      <c r="V43" s="535">
        <v>4</v>
      </c>
      <c r="W43" s="536">
        <v>0.1</v>
      </c>
      <c r="X43" s="275">
        <f t="shared" si="29"/>
        <v>-3.9</v>
      </c>
      <c r="Y43" s="535">
        <v>4</v>
      </c>
      <c r="Z43" s="536">
        <v>0.1</v>
      </c>
      <c r="AA43" s="275">
        <f t="shared" si="30"/>
        <v>-3.9</v>
      </c>
      <c r="AB43" s="535">
        <v>4</v>
      </c>
      <c r="AC43" s="536">
        <v>0.1</v>
      </c>
      <c r="AD43" s="275">
        <f t="shared" si="31"/>
        <v>-3.9</v>
      </c>
      <c r="AE43" s="535">
        <v>4</v>
      </c>
      <c r="AF43" s="536">
        <v>0.1</v>
      </c>
      <c r="AG43" s="275">
        <f t="shared" si="32"/>
        <v>-3.9</v>
      </c>
      <c r="AH43" s="535">
        <v>4</v>
      </c>
      <c r="AI43" s="536">
        <v>0.1</v>
      </c>
      <c r="AJ43" s="275">
        <f t="shared" si="33"/>
        <v>-3.9</v>
      </c>
      <c r="AK43" s="535">
        <v>4</v>
      </c>
      <c r="AL43" s="536">
        <v>0.1</v>
      </c>
      <c r="AM43" s="275">
        <f t="shared" si="34"/>
        <v>-3.9</v>
      </c>
      <c r="AN43" s="535">
        <v>4</v>
      </c>
      <c r="AO43" s="536">
        <v>0.1</v>
      </c>
      <c r="AP43" s="275">
        <f t="shared" si="35"/>
        <v>-3.9</v>
      </c>
      <c r="AQ43" s="535">
        <v>4</v>
      </c>
      <c r="AR43" s="536">
        <v>0.1</v>
      </c>
      <c r="AS43" s="275">
        <f t="shared" si="36"/>
        <v>-3.9</v>
      </c>
      <c r="AT43" s="535">
        <v>4</v>
      </c>
      <c r="AU43" s="536">
        <v>0.1</v>
      </c>
      <c r="AV43" s="275">
        <f t="shared" si="37"/>
        <v>-3.9</v>
      </c>
      <c r="AW43" s="535">
        <v>4</v>
      </c>
      <c r="AX43" s="536">
        <v>0.1</v>
      </c>
      <c r="AY43" s="275">
        <f t="shared" si="38"/>
        <v>-3.9</v>
      </c>
      <c r="AZ43" s="535">
        <v>4</v>
      </c>
      <c r="BA43" s="536">
        <v>0.1</v>
      </c>
      <c r="BB43" s="275">
        <f t="shared" si="39"/>
        <v>-3.9</v>
      </c>
      <c r="BC43" s="535">
        <v>4</v>
      </c>
      <c r="BD43" s="536">
        <v>0.1</v>
      </c>
      <c r="BE43" s="275">
        <f t="shared" si="40"/>
        <v>-3.9</v>
      </c>
      <c r="BF43" s="535">
        <v>4</v>
      </c>
      <c r="BG43" s="536">
        <v>0.1</v>
      </c>
      <c r="BH43" s="275">
        <f t="shared" si="41"/>
        <v>-3.9</v>
      </c>
      <c r="BI43" s="535">
        <v>4</v>
      </c>
      <c r="BJ43" s="536">
        <v>0.1</v>
      </c>
      <c r="BK43" s="275">
        <f t="shared" si="42"/>
        <v>-3.9</v>
      </c>
      <c r="BL43" s="535">
        <v>4</v>
      </c>
      <c r="BM43" s="536">
        <v>0.1</v>
      </c>
      <c r="BN43" s="275">
        <f t="shared" si="43"/>
        <v>-3.9</v>
      </c>
      <c r="BO43" s="535"/>
      <c r="BP43" s="536"/>
      <c r="BQ43" s="275">
        <f t="shared" si="44"/>
        <v>0</v>
      </c>
    </row>
    <row r="44" spans="1:70" ht="15.75" thickBot="1">
      <c r="A44" s="667"/>
      <c r="B44" s="671"/>
      <c r="C44" s="263" t="s">
        <v>34</v>
      </c>
      <c r="D44" s="439">
        <f t="shared" si="45"/>
        <v>84</v>
      </c>
      <c r="E44" s="440">
        <f t="shared" si="46"/>
        <v>2.1000000000000005</v>
      </c>
      <c r="F44" s="278">
        <f t="shared" si="47"/>
        <v>81.900000000000006</v>
      </c>
      <c r="G44" s="535">
        <v>4</v>
      </c>
      <c r="H44" s="536">
        <v>0.1</v>
      </c>
      <c r="I44" s="279">
        <f>H44-G44</f>
        <v>-3.9</v>
      </c>
      <c r="J44" s="535">
        <v>4</v>
      </c>
      <c r="K44" s="536">
        <v>0.1</v>
      </c>
      <c r="L44" s="279">
        <f>K44-J44</f>
        <v>-3.9</v>
      </c>
      <c r="M44" s="535">
        <v>4</v>
      </c>
      <c r="N44" s="536">
        <v>0.1</v>
      </c>
      <c r="O44" s="279">
        <f>N44-M44</f>
        <v>-3.9</v>
      </c>
      <c r="P44" s="535">
        <v>4</v>
      </c>
      <c r="Q44" s="536">
        <v>0.1</v>
      </c>
      <c r="R44" s="279">
        <f>Q44-P44</f>
        <v>-3.9</v>
      </c>
      <c r="S44" s="535">
        <v>4</v>
      </c>
      <c r="T44" s="536">
        <v>0.1</v>
      </c>
      <c r="U44" s="279">
        <f>T44-S44</f>
        <v>-3.9</v>
      </c>
      <c r="V44" s="535">
        <v>4</v>
      </c>
      <c r="W44" s="536">
        <v>0.1</v>
      </c>
      <c r="X44" s="279">
        <f>W44-V44</f>
        <v>-3.9</v>
      </c>
      <c r="Y44" s="535">
        <v>4</v>
      </c>
      <c r="Z44" s="536">
        <v>0.1</v>
      </c>
      <c r="AA44" s="279">
        <f>Z44-Y44</f>
        <v>-3.9</v>
      </c>
      <c r="AB44" s="535">
        <v>4</v>
      </c>
      <c r="AC44" s="536">
        <v>0.1</v>
      </c>
      <c r="AD44" s="279">
        <f>AC44-AB44</f>
        <v>-3.9</v>
      </c>
      <c r="AE44" s="535">
        <v>4</v>
      </c>
      <c r="AF44" s="536">
        <v>0.1</v>
      </c>
      <c r="AG44" s="279">
        <f>AF44-AE44</f>
        <v>-3.9</v>
      </c>
      <c r="AH44" s="535">
        <v>4</v>
      </c>
      <c r="AI44" s="536">
        <v>0.1</v>
      </c>
      <c r="AJ44" s="279">
        <f>AI44-AH44</f>
        <v>-3.9</v>
      </c>
      <c r="AK44" s="535">
        <v>4</v>
      </c>
      <c r="AL44" s="536">
        <v>0.1</v>
      </c>
      <c r="AM44" s="279">
        <f>AL44-AK44</f>
        <v>-3.9</v>
      </c>
      <c r="AN44" s="535">
        <v>4</v>
      </c>
      <c r="AO44" s="536">
        <v>0.1</v>
      </c>
      <c r="AP44" s="279">
        <f>AO44-AN44</f>
        <v>-3.9</v>
      </c>
      <c r="AQ44" s="535">
        <v>4</v>
      </c>
      <c r="AR44" s="536">
        <v>0.1</v>
      </c>
      <c r="AS44" s="279">
        <f>AR44-AQ44</f>
        <v>-3.9</v>
      </c>
      <c r="AT44" s="535">
        <v>4</v>
      </c>
      <c r="AU44" s="536">
        <v>0.1</v>
      </c>
      <c r="AV44" s="279">
        <f>AU44-AT44</f>
        <v>-3.9</v>
      </c>
      <c r="AW44" s="535">
        <v>4</v>
      </c>
      <c r="AX44" s="536">
        <v>0.1</v>
      </c>
      <c r="AY44" s="279">
        <f>AX44-AW44</f>
        <v>-3.9</v>
      </c>
      <c r="AZ44" s="535">
        <v>4</v>
      </c>
      <c r="BA44" s="536">
        <v>0.1</v>
      </c>
      <c r="BB44" s="279">
        <f>BA44-AZ44</f>
        <v>-3.9</v>
      </c>
      <c r="BC44" s="535">
        <v>4</v>
      </c>
      <c r="BD44" s="536">
        <v>0.1</v>
      </c>
      <c r="BE44" s="279">
        <f>BD44-BC44</f>
        <v>-3.9</v>
      </c>
      <c r="BF44" s="535">
        <v>4</v>
      </c>
      <c r="BG44" s="536">
        <v>0.1</v>
      </c>
      <c r="BH44" s="279">
        <f>BG44-BF44</f>
        <v>-3.9</v>
      </c>
      <c r="BI44" s="535">
        <v>4</v>
      </c>
      <c r="BJ44" s="536">
        <v>0.1</v>
      </c>
      <c r="BK44" s="279">
        <f>BJ44-BI44</f>
        <v>-3.9</v>
      </c>
      <c r="BL44" s="535">
        <v>4</v>
      </c>
      <c r="BM44" s="536">
        <v>0.1</v>
      </c>
      <c r="BN44" s="279">
        <f>BM44-BL44</f>
        <v>-3.9</v>
      </c>
      <c r="BO44" s="537"/>
      <c r="BP44" s="538"/>
      <c r="BQ44" s="279">
        <f>BP44-BO44</f>
        <v>0</v>
      </c>
    </row>
    <row r="45" spans="1:70" s="281" customFormat="1" ht="14.45" customHeight="1">
      <c r="A45" s="665" t="s">
        <v>152</v>
      </c>
      <c r="B45" s="669" t="s">
        <v>38</v>
      </c>
      <c r="C45" s="251" t="s">
        <v>25</v>
      </c>
      <c r="D45" s="435">
        <f t="shared" ref="D45" si="48">SUM(G45,J45,M45,P45,S45,V45,Y45,AB45,AE45,AH45,AK45,AN45,AQ45,AT45,AW45,AZ45,AZ45,BC45,BF45,BI45,BL45,BO45)</f>
        <v>0</v>
      </c>
      <c r="E45" s="436">
        <f t="shared" ref="E45:E64" si="49">SUM(H45,K45,N45,Q45,T45,W45,Z45,AC45,AF45,AI45,AL45,AO45,AR45,AU45,AX45,BA45,BA45,BD45,BG45,BJ45,BM45,BP45)</f>
        <v>0</v>
      </c>
      <c r="F45" s="270">
        <f>D45-E45</f>
        <v>0</v>
      </c>
      <c r="G45" s="533"/>
      <c r="H45" s="534"/>
      <c r="I45" s="271">
        <f t="shared" ref="I45:I53" si="50">H45-G45</f>
        <v>0</v>
      </c>
      <c r="J45" s="533"/>
      <c r="K45" s="534"/>
      <c r="L45" s="271">
        <f t="shared" ref="L45:L53" si="51">K45-J45</f>
        <v>0</v>
      </c>
      <c r="M45" s="533"/>
      <c r="N45" s="534"/>
      <c r="O45" s="271">
        <f t="shared" ref="O45:O53" si="52">N45-M45</f>
        <v>0</v>
      </c>
      <c r="P45" s="533"/>
      <c r="Q45" s="534"/>
      <c r="R45" s="271">
        <f t="shared" ref="R45:R53" si="53">Q45-P45</f>
        <v>0</v>
      </c>
      <c r="S45" s="533"/>
      <c r="T45" s="534"/>
      <c r="U45" s="271">
        <f t="shared" ref="U45:U53" si="54">T45-S45</f>
        <v>0</v>
      </c>
      <c r="V45" s="533"/>
      <c r="W45" s="534"/>
      <c r="X45" s="271">
        <f t="shared" ref="X45:X53" si="55">W45-V45</f>
        <v>0</v>
      </c>
      <c r="Y45" s="533"/>
      <c r="Z45" s="534"/>
      <c r="AA45" s="271">
        <f t="shared" ref="AA45:AA53" si="56">Z45-Y45</f>
        <v>0</v>
      </c>
      <c r="AB45" s="533"/>
      <c r="AC45" s="534"/>
      <c r="AD45" s="271">
        <f t="shared" ref="AD45:AD53" si="57">AC45-AB45</f>
        <v>0</v>
      </c>
      <c r="AE45" s="533"/>
      <c r="AF45" s="534"/>
      <c r="AG45" s="271">
        <f t="shared" ref="AG45:AG53" si="58">AF45-AE45</f>
        <v>0</v>
      </c>
      <c r="AH45" s="533"/>
      <c r="AI45" s="534"/>
      <c r="AJ45" s="271">
        <f t="shared" ref="AJ45:AJ53" si="59">AI45-AH45</f>
        <v>0</v>
      </c>
      <c r="AK45" s="533"/>
      <c r="AL45" s="534"/>
      <c r="AM45" s="271">
        <f t="shared" ref="AM45:AM53" si="60">AL45-AK45</f>
        <v>0</v>
      </c>
      <c r="AN45" s="533"/>
      <c r="AO45" s="534"/>
      <c r="AP45" s="271">
        <f t="shared" ref="AP45:AP53" si="61">AO45-AN45</f>
        <v>0</v>
      </c>
      <c r="AQ45" s="533"/>
      <c r="AR45" s="534"/>
      <c r="AS45" s="271">
        <f t="shared" ref="AS45:AS53" si="62">AR45-AQ45</f>
        <v>0</v>
      </c>
      <c r="AT45" s="533"/>
      <c r="AU45" s="534"/>
      <c r="AV45" s="271">
        <f t="shared" ref="AV45:AV53" si="63">AU45-AT45</f>
        <v>0</v>
      </c>
      <c r="AW45" s="533"/>
      <c r="AX45" s="534"/>
      <c r="AY45" s="271">
        <f t="shared" ref="AY45:AY53" si="64">AX45-AW45</f>
        <v>0</v>
      </c>
      <c r="AZ45" s="533"/>
      <c r="BA45" s="534"/>
      <c r="BB45" s="271">
        <f t="shared" ref="BB45:BB53" si="65">BA45-AZ45</f>
        <v>0</v>
      </c>
      <c r="BC45" s="533"/>
      <c r="BD45" s="534"/>
      <c r="BE45" s="271">
        <f t="shared" ref="BE45:BE53" si="66">BD45-BC45</f>
        <v>0</v>
      </c>
      <c r="BF45" s="533"/>
      <c r="BG45" s="534"/>
      <c r="BH45" s="271">
        <f t="shared" ref="BH45:BH53" si="67">BG45-BF45</f>
        <v>0</v>
      </c>
      <c r="BI45" s="533"/>
      <c r="BJ45" s="534"/>
      <c r="BK45" s="271">
        <f t="shared" ref="BK45:BK53" si="68">BJ45-BI45</f>
        <v>0</v>
      </c>
      <c r="BL45" s="533"/>
      <c r="BM45" s="534"/>
      <c r="BN45" s="271">
        <f t="shared" ref="BN45:BN53" si="69">BM45-BL45</f>
        <v>0</v>
      </c>
      <c r="BO45" s="533">
        <v>0</v>
      </c>
      <c r="BP45" s="534">
        <v>0</v>
      </c>
      <c r="BQ45" s="271">
        <f t="shared" si="44"/>
        <v>0</v>
      </c>
      <c r="BR45" s="280">
        <f>'Analyza citlivosti - AgendovéIS'!Q7</f>
        <v>0</v>
      </c>
    </row>
    <row r="46" spans="1:70">
      <c r="A46" s="666"/>
      <c r="B46" s="670"/>
      <c r="C46" s="24" t="s">
        <v>26</v>
      </c>
      <c r="D46" s="437">
        <f t="shared" ref="D46:D61" si="70">SUM(G46,J46,M46,P46,S46,V46,Y46,AB46,AE46,AH46,AK46,AN46,AQ46,AT46,AW46,AZ46,AZ46,BC46,BF46,BI46,BL46,BO46)</f>
        <v>0</v>
      </c>
      <c r="E46" s="438">
        <f t="shared" si="49"/>
        <v>0</v>
      </c>
      <c r="F46" s="274">
        <f t="shared" ref="F46:F54" si="71">D46-E46</f>
        <v>0</v>
      </c>
      <c r="G46" s="535"/>
      <c r="H46" s="536"/>
      <c r="I46" s="275">
        <f t="shared" si="50"/>
        <v>0</v>
      </c>
      <c r="J46" s="535"/>
      <c r="K46" s="536"/>
      <c r="L46" s="275">
        <f t="shared" si="51"/>
        <v>0</v>
      </c>
      <c r="M46" s="535"/>
      <c r="N46" s="536"/>
      <c r="O46" s="275">
        <f t="shared" si="52"/>
        <v>0</v>
      </c>
      <c r="P46" s="535"/>
      <c r="Q46" s="536"/>
      <c r="R46" s="275">
        <f t="shared" si="53"/>
        <v>0</v>
      </c>
      <c r="S46" s="535"/>
      <c r="T46" s="536"/>
      <c r="U46" s="275">
        <f t="shared" si="54"/>
        <v>0</v>
      </c>
      <c r="V46" s="535"/>
      <c r="W46" s="536"/>
      <c r="X46" s="275">
        <f t="shared" si="55"/>
        <v>0</v>
      </c>
      <c r="Y46" s="535"/>
      <c r="Z46" s="536"/>
      <c r="AA46" s="275">
        <f t="shared" si="56"/>
        <v>0</v>
      </c>
      <c r="AB46" s="535"/>
      <c r="AC46" s="536"/>
      <c r="AD46" s="275">
        <f t="shared" si="57"/>
        <v>0</v>
      </c>
      <c r="AE46" s="535"/>
      <c r="AF46" s="536"/>
      <c r="AG46" s="275">
        <f t="shared" si="58"/>
        <v>0</v>
      </c>
      <c r="AH46" s="535"/>
      <c r="AI46" s="536"/>
      <c r="AJ46" s="275">
        <f t="shared" si="59"/>
        <v>0</v>
      </c>
      <c r="AK46" s="535"/>
      <c r="AL46" s="536"/>
      <c r="AM46" s="275">
        <f t="shared" si="60"/>
        <v>0</v>
      </c>
      <c r="AN46" s="535"/>
      <c r="AO46" s="536"/>
      <c r="AP46" s="275">
        <f t="shared" si="61"/>
        <v>0</v>
      </c>
      <c r="AQ46" s="535"/>
      <c r="AR46" s="536"/>
      <c r="AS46" s="275">
        <f t="shared" si="62"/>
        <v>0</v>
      </c>
      <c r="AT46" s="535"/>
      <c r="AU46" s="536"/>
      <c r="AV46" s="275">
        <f t="shared" si="63"/>
        <v>0</v>
      </c>
      <c r="AW46" s="535"/>
      <c r="AX46" s="536"/>
      <c r="AY46" s="275">
        <f t="shared" si="64"/>
        <v>0</v>
      </c>
      <c r="AZ46" s="535"/>
      <c r="BA46" s="536"/>
      <c r="BB46" s="275">
        <f t="shared" si="65"/>
        <v>0</v>
      </c>
      <c r="BC46" s="535"/>
      <c r="BD46" s="536"/>
      <c r="BE46" s="275">
        <f t="shared" si="66"/>
        <v>0</v>
      </c>
      <c r="BF46" s="535"/>
      <c r="BG46" s="536"/>
      <c r="BH46" s="275">
        <f t="shared" si="67"/>
        <v>0</v>
      </c>
      <c r="BI46" s="535"/>
      <c r="BJ46" s="536"/>
      <c r="BK46" s="275">
        <f t="shared" si="68"/>
        <v>0</v>
      </c>
      <c r="BL46" s="535"/>
      <c r="BM46" s="536"/>
      <c r="BN46" s="275">
        <f t="shared" si="69"/>
        <v>0</v>
      </c>
      <c r="BO46" s="535">
        <v>0</v>
      </c>
      <c r="BP46" s="536">
        <v>0</v>
      </c>
      <c r="BQ46" s="275">
        <f t="shared" si="44"/>
        <v>0</v>
      </c>
    </row>
    <row r="47" spans="1:70">
      <c r="A47" s="666"/>
      <c r="B47" s="670"/>
      <c r="C47" s="24" t="s">
        <v>27</v>
      </c>
      <c r="D47" s="437">
        <f t="shared" si="70"/>
        <v>168</v>
      </c>
      <c r="E47" s="438">
        <f t="shared" si="49"/>
        <v>2.1000000000000005</v>
      </c>
      <c r="F47" s="274">
        <f t="shared" si="71"/>
        <v>165.9</v>
      </c>
      <c r="G47" s="535">
        <v>8</v>
      </c>
      <c r="H47" s="536">
        <v>0.1</v>
      </c>
      <c r="I47" s="275">
        <f t="shared" si="50"/>
        <v>-7.9</v>
      </c>
      <c r="J47" s="535">
        <v>8</v>
      </c>
      <c r="K47" s="536">
        <v>0.1</v>
      </c>
      <c r="L47" s="275">
        <f t="shared" si="51"/>
        <v>-7.9</v>
      </c>
      <c r="M47" s="535">
        <v>8</v>
      </c>
      <c r="N47" s="536">
        <v>0.1</v>
      </c>
      <c r="O47" s="275">
        <f t="shared" si="52"/>
        <v>-7.9</v>
      </c>
      <c r="P47" s="535">
        <v>8</v>
      </c>
      <c r="Q47" s="536">
        <v>0.1</v>
      </c>
      <c r="R47" s="275">
        <f t="shared" si="53"/>
        <v>-7.9</v>
      </c>
      <c r="S47" s="535">
        <v>8</v>
      </c>
      <c r="T47" s="536">
        <v>0.1</v>
      </c>
      <c r="U47" s="275">
        <f t="shared" si="54"/>
        <v>-7.9</v>
      </c>
      <c r="V47" s="535">
        <v>8</v>
      </c>
      <c r="W47" s="536">
        <v>0.1</v>
      </c>
      <c r="X47" s="275">
        <f t="shared" si="55"/>
        <v>-7.9</v>
      </c>
      <c r="Y47" s="535">
        <v>8</v>
      </c>
      <c r="Z47" s="536">
        <v>0.1</v>
      </c>
      <c r="AA47" s="275">
        <f t="shared" si="56"/>
        <v>-7.9</v>
      </c>
      <c r="AB47" s="535">
        <v>8</v>
      </c>
      <c r="AC47" s="536">
        <v>0.1</v>
      </c>
      <c r="AD47" s="275">
        <f t="shared" si="57"/>
        <v>-7.9</v>
      </c>
      <c r="AE47" s="535">
        <v>8</v>
      </c>
      <c r="AF47" s="536">
        <v>0.1</v>
      </c>
      <c r="AG47" s="275">
        <f t="shared" si="58"/>
        <v>-7.9</v>
      </c>
      <c r="AH47" s="535">
        <v>8</v>
      </c>
      <c r="AI47" s="536">
        <v>0.1</v>
      </c>
      <c r="AJ47" s="275">
        <f t="shared" si="59"/>
        <v>-7.9</v>
      </c>
      <c r="AK47" s="535">
        <v>8</v>
      </c>
      <c r="AL47" s="536">
        <v>0.1</v>
      </c>
      <c r="AM47" s="275">
        <f t="shared" si="60"/>
        <v>-7.9</v>
      </c>
      <c r="AN47" s="535">
        <v>8</v>
      </c>
      <c r="AO47" s="536">
        <v>0.1</v>
      </c>
      <c r="AP47" s="275">
        <f t="shared" si="61"/>
        <v>-7.9</v>
      </c>
      <c r="AQ47" s="535">
        <v>8</v>
      </c>
      <c r="AR47" s="536">
        <v>0.1</v>
      </c>
      <c r="AS47" s="275">
        <f t="shared" si="62"/>
        <v>-7.9</v>
      </c>
      <c r="AT47" s="535">
        <v>8</v>
      </c>
      <c r="AU47" s="536">
        <v>0.1</v>
      </c>
      <c r="AV47" s="275">
        <f t="shared" si="63"/>
        <v>-7.9</v>
      </c>
      <c r="AW47" s="535">
        <v>8</v>
      </c>
      <c r="AX47" s="536">
        <v>0.1</v>
      </c>
      <c r="AY47" s="275">
        <f t="shared" si="64"/>
        <v>-7.9</v>
      </c>
      <c r="AZ47" s="535">
        <v>8</v>
      </c>
      <c r="BA47" s="536">
        <v>0.1</v>
      </c>
      <c r="BB47" s="275">
        <f t="shared" si="65"/>
        <v>-7.9</v>
      </c>
      <c r="BC47" s="535">
        <v>8</v>
      </c>
      <c r="BD47" s="536">
        <v>0.1</v>
      </c>
      <c r="BE47" s="275">
        <f t="shared" si="66"/>
        <v>-7.9</v>
      </c>
      <c r="BF47" s="535">
        <v>8</v>
      </c>
      <c r="BG47" s="536">
        <v>0.1</v>
      </c>
      <c r="BH47" s="275">
        <f t="shared" si="67"/>
        <v>-7.9</v>
      </c>
      <c r="BI47" s="535">
        <v>8</v>
      </c>
      <c r="BJ47" s="536">
        <v>0.1</v>
      </c>
      <c r="BK47" s="275">
        <f t="shared" si="68"/>
        <v>-7.9</v>
      </c>
      <c r="BL47" s="535">
        <v>8</v>
      </c>
      <c r="BM47" s="536">
        <v>0.1</v>
      </c>
      <c r="BN47" s="275">
        <f t="shared" si="69"/>
        <v>-7.9</v>
      </c>
      <c r="BO47" s="535">
        <v>0</v>
      </c>
      <c r="BP47" s="536">
        <v>0</v>
      </c>
      <c r="BQ47" s="275">
        <f t="shared" si="44"/>
        <v>0</v>
      </c>
    </row>
    <row r="48" spans="1:70">
      <c r="A48" s="666"/>
      <c r="B48" s="670"/>
      <c r="C48" s="24" t="s">
        <v>28</v>
      </c>
      <c r="D48" s="437">
        <f t="shared" si="70"/>
        <v>168</v>
      </c>
      <c r="E48" s="438">
        <f t="shared" si="49"/>
        <v>2.1000000000000005</v>
      </c>
      <c r="F48" s="274">
        <f t="shared" si="71"/>
        <v>165.9</v>
      </c>
      <c r="G48" s="535">
        <v>8</v>
      </c>
      <c r="H48" s="536">
        <v>0.1</v>
      </c>
      <c r="I48" s="275">
        <f t="shared" si="50"/>
        <v>-7.9</v>
      </c>
      <c r="J48" s="535">
        <v>8</v>
      </c>
      <c r="K48" s="536">
        <v>0.1</v>
      </c>
      <c r="L48" s="275">
        <f t="shared" si="51"/>
        <v>-7.9</v>
      </c>
      <c r="M48" s="535">
        <v>8</v>
      </c>
      <c r="N48" s="536">
        <v>0.1</v>
      </c>
      <c r="O48" s="275">
        <f t="shared" si="52"/>
        <v>-7.9</v>
      </c>
      <c r="P48" s="535">
        <v>8</v>
      </c>
      <c r="Q48" s="536">
        <v>0.1</v>
      </c>
      <c r="R48" s="275">
        <f t="shared" si="53"/>
        <v>-7.9</v>
      </c>
      <c r="S48" s="535">
        <v>8</v>
      </c>
      <c r="T48" s="536">
        <v>0.1</v>
      </c>
      <c r="U48" s="275">
        <f t="shared" si="54"/>
        <v>-7.9</v>
      </c>
      <c r="V48" s="535">
        <v>8</v>
      </c>
      <c r="W48" s="536">
        <v>0.1</v>
      </c>
      <c r="X48" s="275">
        <f t="shared" si="55"/>
        <v>-7.9</v>
      </c>
      <c r="Y48" s="535">
        <v>8</v>
      </c>
      <c r="Z48" s="536">
        <v>0.1</v>
      </c>
      <c r="AA48" s="275">
        <f t="shared" si="56"/>
        <v>-7.9</v>
      </c>
      <c r="AB48" s="535">
        <v>8</v>
      </c>
      <c r="AC48" s="536">
        <v>0.1</v>
      </c>
      <c r="AD48" s="275">
        <f t="shared" si="57"/>
        <v>-7.9</v>
      </c>
      <c r="AE48" s="535">
        <v>8</v>
      </c>
      <c r="AF48" s="536">
        <v>0.1</v>
      </c>
      <c r="AG48" s="275">
        <f t="shared" si="58"/>
        <v>-7.9</v>
      </c>
      <c r="AH48" s="535">
        <v>8</v>
      </c>
      <c r="AI48" s="536">
        <v>0.1</v>
      </c>
      <c r="AJ48" s="275">
        <f t="shared" si="59"/>
        <v>-7.9</v>
      </c>
      <c r="AK48" s="535">
        <v>8</v>
      </c>
      <c r="AL48" s="536">
        <v>0.1</v>
      </c>
      <c r="AM48" s="275">
        <f t="shared" si="60"/>
        <v>-7.9</v>
      </c>
      <c r="AN48" s="535">
        <v>8</v>
      </c>
      <c r="AO48" s="536">
        <v>0.1</v>
      </c>
      <c r="AP48" s="275">
        <f t="shared" si="61"/>
        <v>-7.9</v>
      </c>
      <c r="AQ48" s="535">
        <v>8</v>
      </c>
      <c r="AR48" s="536">
        <v>0.1</v>
      </c>
      <c r="AS48" s="275">
        <f t="shared" si="62"/>
        <v>-7.9</v>
      </c>
      <c r="AT48" s="535">
        <v>8</v>
      </c>
      <c r="AU48" s="536">
        <v>0.1</v>
      </c>
      <c r="AV48" s="275">
        <f t="shared" si="63"/>
        <v>-7.9</v>
      </c>
      <c r="AW48" s="535">
        <v>8</v>
      </c>
      <c r="AX48" s="536">
        <v>0.1</v>
      </c>
      <c r="AY48" s="275">
        <f t="shared" si="64"/>
        <v>-7.9</v>
      </c>
      <c r="AZ48" s="535">
        <v>8</v>
      </c>
      <c r="BA48" s="536">
        <v>0.1</v>
      </c>
      <c r="BB48" s="275">
        <f t="shared" si="65"/>
        <v>-7.9</v>
      </c>
      <c r="BC48" s="535">
        <v>8</v>
      </c>
      <c r="BD48" s="536">
        <v>0.1</v>
      </c>
      <c r="BE48" s="275">
        <f t="shared" si="66"/>
        <v>-7.9</v>
      </c>
      <c r="BF48" s="535">
        <v>8</v>
      </c>
      <c r="BG48" s="536">
        <v>0.1</v>
      </c>
      <c r="BH48" s="275">
        <f t="shared" si="67"/>
        <v>-7.9</v>
      </c>
      <c r="BI48" s="535">
        <v>8</v>
      </c>
      <c r="BJ48" s="536">
        <v>0.1</v>
      </c>
      <c r="BK48" s="275">
        <f t="shared" si="68"/>
        <v>-7.9</v>
      </c>
      <c r="BL48" s="535">
        <v>8</v>
      </c>
      <c r="BM48" s="536">
        <v>0.1</v>
      </c>
      <c r="BN48" s="275">
        <f t="shared" si="69"/>
        <v>-7.9</v>
      </c>
      <c r="BO48" s="535">
        <v>0</v>
      </c>
      <c r="BP48" s="536">
        <v>0</v>
      </c>
      <c r="BQ48" s="275">
        <f t="shared" si="44"/>
        <v>0</v>
      </c>
    </row>
    <row r="49" spans="1:70">
      <c r="A49" s="666"/>
      <c r="B49" s="670"/>
      <c r="C49" s="24" t="s">
        <v>29</v>
      </c>
      <c r="D49" s="437">
        <f t="shared" si="70"/>
        <v>168</v>
      </c>
      <c r="E49" s="438">
        <f t="shared" si="49"/>
        <v>2.1000000000000005</v>
      </c>
      <c r="F49" s="274">
        <f t="shared" si="71"/>
        <v>165.9</v>
      </c>
      <c r="G49" s="535">
        <v>8</v>
      </c>
      <c r="H49" s="536">
        <v>0.1</v>
      </c>
      <c r="I49" s="275">
        <f t="shared" si="50"/>
        <v>-7.9</v>
      </c>
      <c r="J49" s="535">
        <v>8</v>
      </c>
      <c r="K49" s="536">
        <v>0.1</v>
      </c>
      <c r="L49" s="275">
        <f t="shared" si="51"/>
        <v>-7.9</v>
      </c>
      <c r="M49" s="535">
        <v>8</v>
      </c>
      <c r="N49" s="536">
        <v>0.1</v>
      </c>
      <c r="O49" s="275">
        <f t="shared" si="52"/>
        <v>-7.9</v>
      </c>
      <c r="P49" s="535">
        <v>8</v>
      </c>
      <c r="Q49" s="536">
        <v>0.1</v>
      </c>
      <c r="R49" s="275">
        <f t="shared" si="53"/>
        <v>-7.9</v>
      </c>
      <c r="S49" s="535">
        <v>8</v>
      </c>
      <c r="T49" s="536">
        <v>0.1</v>
      </c>
      <c r="U49" s="275">
        <f t="shared" si="54"/>
        <v>-7.9</v>
      </c>
      <c r="V49" s="535">
        <v>8</v>
      </c>
      <c r="W49" s="536">
        <v>0.1</v>
      </c>
      <c r="X49" s="275">
        <f t="shared" si="55"/>
        <v>-7.9</v>
      </c>
      <c r="Y49" s="535">
        <v>8</v>
      </c>
      <c r="Z49" s="536">
        <v>0.1</v>
      </c>
      <c r="AA49" s="275">
        <f t="shared" si="56"/>
        <v>-7.9</v>
      </c>
      <c r="AB49" s="535">
        <v>8</v>
      </c>
      <c r="AC49" s="536">
        <v>0.1</v>
      </c>
      <c r="AD49" s="275">
        <f t="shared" si="57"/>
        <v>-7.9</v>
      </c>
      <c r="AE49" s="535">
        <v>8</v>
      </c>
      <c r="AF49" s="536">
        <v>0.1</v>
      </c>
      <c r="AG49" s="275">
        <f t="shared" si="58"/>
        <v>-7.9</v>
      </c>
      <c r="AH49" s="535">
        <v>8</v>
      </c>
      <c r="AI49" s="536">
        <v>0.1</v>
      </c>
      <c r="AJ49" s="275">
        <f t="shared" si="59"/>
        <v>-7.9</v>
      </c>
      <c r="AK49" s="535">
        <v>8</v>
      </c>
      <c r="AL49" s="536">
        <v>0.1</v>
      </c>
      <c r="AM49" s="275">
        <f t="shared" si="60"/>
        <v>-7.9</v>
      </c>
      <c r="AN49" s="535">
        <v>8</v>
      </c>
      <c r="AO49" s="536">
        <v>0.1</v>
      </c>
      <c r="AP49" s="275">
        <f t="shared" si="61"/>
        <v>-7.9</v>
      </c>
      <c r="AQ49" s="535">
        <v>8</v>
      </c>
      <c r="AR49" s="536">
        <v>0.1</v>
      </c>
      <c r="AS49" s="275">
        <f t="shared" si="62"/>
        <v>-7.9</v>
      </c>
      <c r="AT49" s="535">
        <v>8</v>
      </c>
      <c r="AU49" s="536">
        <v>0.1</v>
      </c>
      <c r="AV49" s="275">
        <f t="shared" si="63"/>
        <v>-7.9</v>
      </c>
      <c r="AW49" s="535">
        <v>8</v>
      </c>
      <c r="AX49" s="536">
        <v>0.1</v>
      </c>
      <c r="AY49" s="275">
        <f t="shared" si="64"/>
        <v>-7.9</v>
      </c>
      <c r="AZ49" s="535">
        <v>8</v>
      </c>
      <c r="BA49" s="536">
        <v>0.1</v>
      </c>
      <c r="BB49" s="275">
        <f t="shared" si="65"/>
        <v>-7.9</v>
      </c>
      <c r="BC49" s="535">
        <v>8</v>
      </c>
      <c r="BD49" s="536">
        <v>0.1</v>
      </c>
      <c r="BE49" s="275">
        <f t="shared" si="66"/>
        <v>-7.9</v>
      </c>
      <c r="BF49" s="535">
        <v>8</v>
      </c>
      <c r="BG49" s="536">
        <v>0.1</v>
      </c>
      <c r="BH49" s="275">
        <f t="shared" si="67"/>
        <v>-7.9</v>
      </c>
      <c r="BI49" s="535">
        <v>8</v>
      </c>
      <c r="BJ49" s="536">
        <v>0.1</v>
      </c>
      <c r="BK49" s="275">
        <f t="shared" si="68"/>
        <v>-7.9</v>
      </c>
      <c r="BL49" s="535">
        <v>8</v>
      </c>
      <c r="BM49" s="536">
        <v>0.1</v>
      </c>
      <c r="BN49" s="275">
        <f t="shared" si="69"/>
        <v>-7.9</v>
      </c>
      <c r="BO49" s="535">
        <v>0</v>
      </c>
      <c r="BP49" s="536">
        <v>0</v>
      </c>
      <c r="BQ49" s="275">
        <f t="shared" si="44"/>
        <v>0</v>
      </c>
    </row>
    <row r="50" spans="1:70">
      <c r="A50" s="666"/>
      <c r="B50" s="670"/>
      <c r="C50" s="24" t="s">
        <v>30</v>
      </c>
      <c r="D50" s="437">
        <f t="shared" si="70"/>
        <v>168</v>
      </c>
      <c r="E50" s="438">
        <f t="shared" si="49"/>
        <v>2.1000000000000005</v>
      </c>
      <c r="F50" s="274">
        <f t="shared" si="71"/>
        <v>165.9</v>
      </c>
      <c r="G50" s="535">
        <v>8</v>
      </c>
      <c r="H50" s="536">
        <v>0.1</v>
      </c>
      <c r="I50" s="275">
        <f t="shared" si="50"/>
        <v>-7.9</v>
      </c>
      <c r="J50" s="535">
        <v>8</v>
      </c>
      <c r="K50" s="536">
        <v>0.1</v>
      </c>
      <c r="L50" s="275">
        <f t="shared" si="51"/>
        <v>-7.9</v>
      </c>
      <c r="M50" s="535">
        <v>8</v>
      </c>
      <c r="N50" s="536">
        <v>0.1</v>
      </c>
      <c r="O50" s="275">
        <f t="shared" si="52"/>
        <v>-7.9</v>
      </c>
      <c r="P50" s="535">
        <v>8</v>
      </c>
      <c r="Q50" s="536">
        <v>0.1</v>
      </c>
      <c r="R50" s="275">
        <f t="shared" si="53"/>
        <v>-7.9</v>
      </c>
      <c r="S50" s="535">
        <v>8</v>
      </c>
      <c r="T50" s="536">
        <v>0.1</v>
      </c>
      <c r="U50" s="275">
        <f t="shared" si="54"/>
        <v>-7.9</v>
      </c>
      <c r="V50" s="535">
        <v>8</v>
      </c>
      <c r="W50" s="536">
        <v>0.1</v>
      </c>
      <c r="X50" s="275">
        <f t="shared" si="55"/>
        <v>-7.9</v>
      </c>
      <c r="Y50" s="535">
        <v>8</v>
      </c>
      <c r="Z50" s="536">
        <v>0.1</v>
      </c>
      <c r="AA50" s="275">
        <f t="shared" si="56"/>
        <v>-7.9</v>
      </c>
      <c r="AB50" s="535">
        <v>8</v>
      </c>
      <c r="AC50" s="536">
        <v>0.1</v>
      </c>
      <c r="AD50" s="275">
        <f t="shared" si="57"/>
        <v>-7.9</v>
      </c>
      <c r="AE50" s="535">
        <v>8</v>
      </c>
      <c r="AF50" s="536">
        <v>0.1</v>
      </c>
      <c r="AG50" s="275">
        <f t="shared" si="58"/>
        <v>-7.9</v>
      </c>
      <c r="AH50" s="535">
        <v>8</v>
      </c>
      <c r="AI50" s="536">
        <v>0.1</v>
      </c>
      <c r="AJ50" s="275">
        <f t="shared" si="59"/>
        <v>-7.9</v>
      </c>
      <c r="AK50" s="535">
        <v>8</v>
      </c>
      <c r="AL50" s="536">
        <v>0.1</v>
      </c>
      <c r="AM50" s="275">
        <f t="shared" si="60"/>
        <v>-7.9</v>
      </c>
      <c r="AN50" s="535">
        <v>8</v>
      </c>
      <c r="AO50" s="536">
        <v>0.1</v>
      </c>
      <c r="AP50" s="275">
        <f t="shared" si="61"/>
        <v>-7.9</v>
      </c>
      <c r="AQ50" s="535">
        <v>8</v>
      </c>
      <c r="AR50" s="536">
        <v>0.1</v>
      </c>
      <c r="AS50" s="275">
        <f t="shared" si="62"/>
        <v>-7.9</v>
      </c>
      <c r="AT50" s="535">
        <v>8</v>
      </c>
      <c r="AU50" s="536">
        <v>0.1</v>
      </c>
      <c r="AV50" s="275">
        <f t="shared" si="63"/>
        <v>-7.9</v>
      </c>
      <c r="AW50" s="535">
        <v>8</v>
      </c>
      <c r="AX50" s="536">
        <v>0.1</v>
      </c>
      <c r="AY50" s="275">
        <f t="shared" si="64"/>
        <v>-7.9</v>
      </c>
      <c r="AZ50" s="535">
        <v>8</v>
      </c>
      <c r="BA50" s="536">
        <v>0.1</v>
      </c>
      <c r="BB50" s="275">
        <f t="shared" si="65"/>
        <v>-7.9</v>
      </c>
      <c r="BC50" s="535">
        <v>8</v>
      </c>
      <c r="BD50" s="536">
        <v>0.1</v>
      </c>
      <c r="BE50" s="275">
        <f t="shared" si="66"/>
        <v>-7.9</v>
      </c>
      <c r="BF50" s="535">
        <v>8</v>
      </c>
      <c r="BG50" s="536">
        <v>0.1</v>
      </c>
      <c r="BH50" s="275">
        <f t="shared" si="67"/>
        <v>-7.9</v>
      </c>
      <c r="BI50" s="535">
        <v>8</v>
      </c>
      <c r="BJ50" s="536">
        <v>0.1</v>
      </c>
      <c r="BK50" s="275">
        <f t="shared" si="68"/>
        <v>-7.9</v>
      </c>
      <c r="BL50" s="535">
        <v>8</v>
      </c>
      <c r="BM50" s="536">
        <v>0.1</v>
      </c>
      <c r="BN50" s="275">
        <f t="shared" si="69"/>
        <v>-7.9</v>
      </c>
      <c r="BO50" s="535">
        <v>0</v>
      </c>
      <c r="BP50" s="536">
        <v>0</v>
      </c>
      <c r="BQ50" s="275">
        <f t="shared" si="44"/>
        <v>0</v>
      </c>
    </row>
    <row r="51" spans="1:70">
      <c r="A51" s="666"/>
      <c r="B51" s="670"/>
      <c r="C51" s="24" t="s">
        <v>31</v>
      </c>
      <c r="D51" s="437">
        <f t="shared" si="70"/>
        <v>168</v>
      </c>
      <c r="E51" s="438">
        <f t="shared" si="49"/>
        <v>2.1000000000000005</v>
      </c>
      <c r="F51" s="274">
        <f t="shared" si="71"/>
        <v>165.9</v>
      </c>
      <c r="G51" s="535">
        <v>8</v>
      </c>
      <c r="H51" s="536">
        <v>0.1</v>
      </c>
      <c r="I51" s="275">
        <f t="shared" si="50"/>
        <v>-7.9</v>
      </c>
      <c r="J51" s="535">
        <v>8</v>
      </c>
      <c r="K51" s="536">
        <v>0.1</v>
      </c>
      <c r="L51" s="275">
        <f t="shared" si="51"/>
        <v>-7.9</v>
      </c>
      <c r="M51" s="535">
        <v>8</v>
      </c>
      <c r="N51" s="536">
        <v>0.1</v>
      </c>
      <c r="O51" s="275">
        <f t="shared" si="52"/>
        <v>-7.9</v>
      </c>
      <c r="P51" s="535">
        <v>8</v>
      </c>
      <c r="Q51" s="536">
        <v>0.1</v>
      </c>
      <c r="R51" s="275">
        <f t="shared" si="53"/>
        <v>-7.9</v>
      </c>
      <c r="S51" s="535">
        <v>8</v>
      </c>
      <c r="T51" s="536">
        <v>0.1</v>
      </c>
      <c r="U51" s="275">
        <f t="shared" si="54"/>
        <v>-7.9</v>
      </c>
      <c r="V51" s="535">
        <v>8</v>
      </c>
      <c r="W51" s="536">
        <v>0.1</v>
      </c>
      <c r="X51" s="275">
        <f t="shared" si="55"/>
        <v>-7.9</v>
      </c>
      <c r="Y51" s="535">
        <v>8</v>
      </c>
      <c r="Z51" s="536">
        <v>0.1</v>
      </c>
      <c r="AA51" s="275">
        <f t="shared" si="56"/>
        <v>-7.9</v>
      </c>
      <c r="AB51" s="535">
        <v>8</v>
      </c>
      <c r="AC51" s="536">
        <v>0.1</v>
      </c>
      <c r="AD51" s="275">
        <f t="shared" si="57"/>
        <v>-7.9</v>
      </c>
      <c r="AE51" s="535">
        <v>8</v>
      </c>
      <c r="AF51" s="536">
        <v>0.1</v>
      </c>
      <c r="AG51" s="275">
        <f t="shared" si="58"/>
        <v>-7.9</v>
      </c>
      <c r="AH51" s="535">
        <v>8</v>
      </c>
      <c r="AI51" s="536">
        <v>0.1</v>
      </c>
      <c r="AJ51" s="275">
        <f t="shared" si="59"/>
        <v>-7.9</v>
      </c>
      <c r="AK51" s="535">
        <v>8</v>
      </c>
      <c r="AL51" s="536">
        <v>0.1</v>
      </c>
      <c r="AM51" s="275">
        <f t="shared" si="60"/>
        <v>-7.9</v>
      </c>
      <c r="AN51" s="535">
        <v>8</v>
      </c>
      <c r="AO51" s="536">
        <v>0.1</v>
      </c>
      <c r="AP51" s="275">
        <f t="shared" si="61"/>
        <v>-7.9</v>
      </c>
      <c r="AQ51" s="535">
        <v>8</v>
      </c>
      <c r="AR51" s="536">
        <v>0.1</v>
      </c>
      <c r="AS51" s="275">
        <f t="shared" si="62"/>
        <v>-7.9</v>
      </c>
      <c r="AT51" s="535">
        <v>8</v>
      </c>
      <c r="AU51" s="536">
        <v>0.1</v>
      </c>
      <c r="AV51" s="275">
        <f t="shared" si="63"/>
        <v>-7.9</v>
      </c>
      <c r="AW51" s="535">
        <v>8</v>
      </c>
      <c r="AX51" s="536">
        <v>0.1</v>
      </c>
      <c r="AY51" s="275">
        <f t="shared" si="64"/>
        <v>-7.9</v>
      </c>
      <c r="AZ51" s="535">
        <v>8</v>
      </c>
      <c r="BA51" s="536">
        <v>0.1</v>
      </c>
      <c r="BB51" s="275">
        <f t="shared" si="65"/>
        <v>-7.9</v>
      </c>
      <c r="BC51" s="535">
        <v>8</v>
      </c>
      <c r="BD51" s="536">
        <v>0.1</v>
      </c>
      <c r="BE51" s="275">
        <f t="shared" si="66"/>
        <v>-7.9</v>
      </c>
      <c r="BF51" s="535">
        <v>8</v>
      </c>
      <c r="BG51" s="536">
        <v>0.1</v>
      </c>
      <c r="BH51" s="275">
        <f t="shared" si="67"/>
        <v>-7.9</v>
      </c>
      <c r="BI51" s="535">
        <v>8</v>
      </c>
      <c r="BJ51" s="536">
        <v>0.1</v>
      </c>
      <c r="BK51" s="275">
        <f t="shared" si="68"/>
        <v>-7.9</v>
      </c>
      <c r="BL51" s="535">
        <v>8</v>
      </c>
      <c r="BM51" s="536">
        <v>0.1</v>
      </c>
      <c r="BN51" s="275">
        <f t="shared" si="69"/>
        <v>-7.9</v>
      </c>
      <c r="BO51" s="535">
        <v>0</v>
      </c>
      <c r="BP51" s="536">
        <v>0</v>
      </c>
      <c r="BQ51" s="275">
        <f t="shared" si="44"/>
        <v>0</v>
      </c>
    </row>
    <row r="52" spans="1:70">
      <c r="A52" s="666"/>
      <c r="B52" s="670"/>
      <c r="C52" s="24" t="s">
        <v>32</v>
      </c>
      <c r="D52" s="437">
        <f t="shared" si="70"/>
        <v>168</v>
      </c>
      <c r="E52" s="438">
        <f t="shared" si="49"/>
        <v>2.1000000000000005</v>
      </c>
      <c r="F52" s="274">
        <f t="shared" si="71"/>
        <v>165.9</v>
      </c>
      <c r="G52" s="535">
        <v>8</v>
      </c>
      <c r="H52" s="536">
        <v>0.1</v>
      </c>
      <c r="I52" s="275">
        <f t="shared" si="50"/>
        <v>-7.9</v>
      </c>
      <c r="J52" s="535">
        <v>8</v>
      </c>
      <c r="K52" s="536">
        <v>0.1</v>
      </c>
      <c r="L52" s="275">
        <f t="shared" si="51"/>
        <v>-7.9</v>
      </c>
      <c r="M52" s="535">
        <v>8</v>
      </c>
      <c r="N52" s="536">
        <v>0.1</v>
      </c>
      <c r="O52" s="275">
        <f t="shared" si="52"/>
        <v>-7.9</v>
      </c>
      <c r="P52" s="535">
        <v>8</v>
      </c>
      <c r="Q52" s="536">
        <v>0.1</v>
      </c>
      <c r="R52" s="275">
        <f t="shared" si="53"/>
        <v>-7.9</v>
      </c>
      <c r="S52" s="535">
        <v>8</v>
      </c>
      <c r="T52" s="536">
        <v>0.1</v>
      </c>
      <c r="U52" s="275">
        <f t="shared" si="54"/>
        <v>-7.9</v>
      </c>
      <c r="V52" s="535">
        <v>8</v>
      </c>
      <c r="W52" s="536">
        <v>0.1</v>
      </c>
      <c r="X52" s="275">
        <f t="shared" si="55"/>
        <v>-7.9</v>
      </c>
      <c r="Y52" s="535">
        <v>8</v>
      </c>
      <c r="Z52" s="536">
        <v>0.1</v>
      </c>
      <c r="AA52" s="275">
        <f t="shared" si="56"/>
        <v>-7.9</v>
      </c>
      <c r="AB52" s="535">
        <v>8</v>
      </c>
      <c r="AC52" s="536">
        <v>0.1</v>
      </c>
      <c r="AD52" s="275">
        <f t="shared" si="57"/>
        <v>-7.9</v>
      </c>
      <c r="AE52" s="535">
        <v>8</v>
      </c>
      <c r="AF52" s="536">
        <v>0.1</v>
      </c>
      <c r="AG52" s="275">
        <f t="shared" si="58"/>
        <v>-7.9</v>
      </c>
      <c r="AH52" s="535">
        <v>8</v>
      </c>
      <c r="AI52" s="536">
        <v>0.1</v>
      </c>
      <c r="AJ52" s="275">
        <f t="shared" si="59"/>
        <v>-7.9</v>
      </c>
      <c r="AK52" s="535">
        <v>8</v>
      </c>
      <c r="AL52" s="536">
        <v>0.1</v>
      </c>
      <c r="AM52" s="275">
        <f t="shared" si="60"/>
        <v>-7.9</v>
      </c>
      <c r="AN52" s="535">
        <v>8</v>
      </c>
      <c r="AO52" s="536">
        <v>0.1</v>
      </c>
      <c r="AP52" s="275">
        <f t="shared" si="61"/>
        <v>-7.9</v>
      </c>
      <c r="AQ52" s="535">
        <v>8</v>
      </c>
      <c r="AR52" s="536">
        <v>0.1</v>
      </c>
      <c r="AS52" s="275">
        <f t="shared" si="62"/>
        <v>-7.9</v>
      </c>
      <c r="AT52" s="535">
        <v>8</v>
      </c>
      <c r="AU52" s="536">
        <v>0.1</v>
      </c>
      <c r="AV52" s="275">
        <f t="shared" si="63"/>
        <v>-7.9</v>
      </c>
      <c r="AW52" s="535">
        <v>8</v>
      </c>
      <c r="AX52" s="536">
        <v>0.1</v>
      </c>
      <c r="AY52" s="275">
        <f t="shared" si="64"/>
        <v>-7.9</v>
      </c>
      <c r="AZ52" s="535">
        <v>8</v>
      </c>
      <c r="BA52" s="536">
        <v>0.1</v>
      </c>
      <c r="BB52" s="275">
        <f t="shared" si="65"/>
        <v>-7.9</v>
      </c>
      <c r="BC52" s="535">
        <v>8</v>
      </c>
      <c r="BD52" s="536">
        <v>0.1</v>
      </c>
      <c r="BE52" s="275">
        <f t="shared" si="66"/>
        <v>-7.9</v>
      </c>
      <c r="BF52" s="535">
        <v>8</v>
      </c>
      <c r="BG52" s="536">
        <v>0.1</v>
      </c>
      <c r="BH52" s="275">
        <f t="shared" si="67"/>
        <v>-7.9</v>
      </c>
      <c r="BI52" s="535">
        <v>8</v>
      </c>
      <c r="BJ52" s="536">
        <v>0.1</v>
      </c>
      <c r="BK52" s="275">
        <f t="shared" si="68"/>
        <v>-7.9</v>
      </c>
      <c r="BL52" s="535">
        <v>8</v>
      </c>
      <c r="BM52" s="536">
        <v>0.1</v>
      </c>
      <c r="BN52" s="275">
        <f t="shared" si="69"/>
        <v>-7.9</v>
      </c>
      <c r="BO52" s="535">
        <v>0</v>
      </c>
      <c r="BP52" s="536">
        <v>0</v>
      </c>
      <c r="BQ52" s="275">
        <f t="shared" si="44"/>
        <v>0</v>
      </c>
    </row>
    <row r="53" spans="1:70">
      <c r="A53" s="666"/>
      <c r="B53" s="670"/>
      <c r="C53" s="24" t="s">
        <v>33</v>
      </c>
      <c r="D53" s="437">
        <f t="shared" si="70"/>
        <v>168</v>
      </c>
      <c r="E53" s="438">
        <f t="shared" si="49"/>
        <v>2.1000000000000005</v>
      </c>
      <c r="F53" s="274">
        <f t="shared" si="71"/>
        <v>165.9</v>
      </c>
      <c r="G53" s="535">
        <v>8</v>
      </c>
      <c r="H53" s="536">
        <v>0.1</v>
      </c>
      <c r="I53" s="275">
        <f t="shared" si="50"/>
        <v>-7.9</v>
      </c>
      <c r="J53" s="535">
        <v>8</v>
      </c>
      <c r="K53" s="536">
        <v>0.1</v>
      </c>
      <c r="L53" s="275">
        <f t="shared" si="51"/>
        <v>-7.9</v>
      </c>
      <c r="M53" s="535">
        <v>8</v>
      </c>
      <c r="N53" s="536">
        <v>0.1</v>
      </c>
      <c r="O53" s="275">
        <f t="shared" si="52"/>
        <v>-7.9</v>
      </c>
      <c r="P53" s="535">
        <v>8</v>
      </c>
      <c r="Q53" s="536">
        <v>0.1</v>
      </c>
      <c r="R53" s="275">
        <f t="shared" si="53"/>
        <v>-7.9</v>
      </c>
      <c r="S53" s="535">
        <v>8</v>
      </c>
      <c r="T53" s="536">
        <v>0.1</v>
      </c>
      <c r="U53" s="275">
        <f t="shared" si="54"/>
        <v>-7.9</v>
      </c>
      <c r="V53" s="535">
        <v>8</v>
      </c>
      <c r="W53" s="536">
        <v>0.1</v>
      </c>
      <c r="X53" s="275">
        <f t="shared" si="55"/>
        <v>-7.9</v>
      </c>
      <c r="Y53" s="535">
        <v>8</v>
      </c>
      <c r="Z53" s="536">
        <v>0.1</v>
      </c>
      <c r="AA53" s="275">
        <f t="shared" si="56"/>
        <v>-7.9</v>
      </c>
      <c r="AB53" s="535">
        <v>8</v>
      </c>
      <c r="AC53" s="536">
        <v>0.1</v>
      </c>
      <c r="AD53" s="275">
        <f t="shared" si="57"/>
        <v>-7.9</v>
      </c>
      <c r="AE53" s="535">
        <v>8</v>
      </c>
      <c r="AF53" s="536">
        <v>0.1</v>
      </c>
      <c r="AG53" s="275">
        <f t="shared" si="58"/>
        <v>-7.9</v>
      </c>
      <c r="AH53" s="535">
        <v>8</v>
      </c>
      <c r="AI53" s="536">
        <v>0.1</v>
      </c>
      <c r="AJ53" s="275">
        <f t="shared" si="59"/>
        <v>-7.9</v>
      </c>
      <c r="AK53" s="535">
        <v>8</v>
      </c>
      <c r="AL53" s="536">
        <v>0.1</v>
      </c>
      <c r="AM53" s="275">
        <f t="shared" si="60"/>
        <v>-7.9</v>
      </c>
      <c r="AN53" s="535">
        <v>8</v>
      </c>
      <c r="AO53" s="536">
        <v>0.1</v>
      </c>
      <c r="AP53" s="275">
        <f t="shared" si="61"/>
        <v>-7.9</v>
      </c>
      <c r="AQ53" s="535">
        <v>8</v>
      </c>
      <c r="AR53" s="536">
        <v>0.1</v>
      </c>
      <c r="AS53" s="275">
        <f t="shared" si="62"/>
        <v>-7.9</v>
      </c>
      <c r="AT53" s="535">
        <v>8</v>
      </c>
      <c r="AU53" s="536">
        <v>0.1</v>
      </c>
      <c r="AV53" s="275">
        <f t="shared" si="63"/>
        <v>-7.9</v>
      </c>
      <c r="AW53" s="535">
        <v>8</v>
      </c>
      <c r="AX53" s="536">
        <v>0.1</v>
      </c>
      <c r="AY53" s="275">
        <f t="shared" si="64"/>
        <v>-7.9</v>
      </c>
      <c r="AZ53" s="535">
        <v>8</v>
      </c>
      <c r="BA53" s="536">
        <v>0.1</v>
      </c>
      <c r="BB53" s="275">
        <f t="shared" si="65"/>
        <v>-7.9</v>
      </c>
      <c r="BC53" s="535">
        <v>8</v>
      </c>
      <c r="BD53" s="536">
        <v>0.1</v>
      </c>
      <c r="BE53" s="275">
        <f t="shared" si="66"/>
        <v>-7.9</v>
      </c>
      <c r="BF53" s="535">
        <v>8</v>
      </c>
      <c r="BG53" s="536">
        <v>0.1</v>
      </c>
      <c r="BH53" s="275">
        <f t="shared" si="67"/>
        <v>-7.9</v>
      </c>
      <c r="BI53" s="535">
        <v>8</v>
      </c>
      <c r="BJ53" s="536">
        <v>0.1</v>
      </c>
      <c r="BK53" s="275">
        <f t="shared" si="68"/>
        <v>-7.9</v>
      </c>
      <c r="BL53" s="535">
        <v>8</v>
      </c>
      <c r="BM53" s="536">
        <v>0.1</v>
      </c>
      <c r="BN53" s="275">
        <f t="shared" si="69"/>
        <v>-7.9</v>
      </c>
      <c r="BO53" s="535">
        <v>0</v>
      </c>
      <c r="BP53" s="536">
        <v>0</v>
      </c>
      <c r="BQ53" s="275">
        <f t="shared" si="44"/>
        <v>0</v>
      </c>
    </row>
    <row r="54" spans="1:70" ht="15.75" thickBot="1">
      <c r="A54" s="667"/>
      <c r="B54" s="671"/>
      <c r="C54" s="263" t="s">
        <v>34</v>
      </c>
      <c r="D54" s="439">
        <f t="shared" si="70"/>
        <v>168</v>
      </c>
      <c r="E54" s="440">
        <f t="shared" si="49"/>
        <v>2.1000000000000005</v>
      </c>
      <c r="F54" s="278">
        <f t="shared" si="71"/>
        <v>165.9</v>
      </c>
      <c r="G54" s="537">
        <v>8</v>
      </c>
      <c r="H54" s="536">
        <v>0.1</v>
      </c>
      <c r="I54" s="279">
        <f>H54-G54</f>
        <v>-7.9</v>
      </c>
      <c r="J54" s="537">
        <v>8</v>
      </c>
      <c r="K54" s="536">
        <v>0.1</v>
      </c>
      <c r="L54" s="279">
        <f>K54-J54</f>
        <v>-7.9</v>
      </c>
      <c r="M54" s="537">
        <v>8</v>
      </c>
      <c r="N54" s="536">
        <v>0.1</v>
      </c>
      <c r="O54" s="279">
        <f>N54-M54</f>
        <v>-7.9</v>
      </c>
      <c r="P54" s="537">
        <v>8</v>
      </c>
      <c r="Q54" s="536">
        <v>0.1</v>
      </c>
      <c r="R54" s="279">
        <f>Q54-P54</f>
        <v>-7.9</v>
      </c>
      <c r="S54" s="537">
        <v>8</v>
      </c>
      <c r="T54" s="536">
        <v>0.1</v>
      </c>
      <c r="U54" s="279">
        <f>T54-S54</f>
        <v>-7.9</v>
      </c>
      <c r="V54" s="537">
        <v>8</v>
      </c>
      <c r="W54" s="536">
        <v>0.1</v>
      </c>
      <c r="X54" s="279">
        <f>W54-V54</f>
        <v>-7.9</v>
      </c>
      <c r="Y54" s="537">
        <v>8</v>
      </c>
      <c r="Z54" s="536">
        <v>0.1</v>
      </c>
      <c r="AA54" s="279">
        <f>Z54-Y54</f>
        <v>-7.9</v>
      </c>
      <c r="AB54" s="537">
        <v>8</v>
      </c>
      <c r="AC54" s="536">
        <v>0.1</v>
      </c>
      <c r="AD54" s="279">
        <f>AC54-AB54</f>
        <v>-7.9</v>
      </c>
      <c r="AE54" s="537">
        <v>8</v>
      </c>
      <c r="AF54" s="536">
        <v>0.1</v>
      </c>
      <c r="AG54" s="279">
        <f>AF54-AE54</f>
        <v>-7.9</v>
      </c>
      <c r="AH54" s="537">
        <v>8</v>
      </c>
      <c r="AI54" s="536">
        <v>0.1</v>
      </c>
      <c r="AJ54" s="279">
        <f>AI54-AH54</f>
        <v>-7.9</v>
      </c>
      <c r="AK54" s="537">
        <v>8</v>
      </c>
      <c r="AL54" s="536">
        <v>0.1</v>
      </c>
      <c r="AM54" s="279">
        <f>AL54-AK54</f>
        <v>-7.9</v>
      </c>
      <c r="AN54" s="537">
        <v>8</v>
      </c>
      <c r="AO54" s="536">
        <v>0.1</v>
      </c>
      <c r="AP54" s="279">
        <f>AO54-AN54</f>
        <v>-7.9</v>
      </c>
      <c r="AQ54" s="537">
        <v>8</v>
      </c>
      <c r="AR54" s="536">
        <v>0.1</v>
      </c>
      <c r="AS54" s="279">
        <f>AR54-AQ54</f>
        <v>-7.9</v>
      </c>
      <c r="AT54" s="537">
        <v>8</v>
      </c>
      <c r="AU54" s="536">
        <v>0.1</v>
      </c>
      <c r="AV54" s="279">
        <f>AU54-AT54</f>
        <v>-7.9</v>
      </c>
      <c r="AW54" s="537">
        <v>8</v>
      </c>
      <c r="AX54" s="536">
        <v>0.1</v>
      </c>
      <c r="AY54" s="279">
        <f>AX54-AW54</f>
        <v>-7.9</v>
      </c>
      <c r="AZ54" s="537">
        <v>8</v>
      </c>
      <c r="BA54" s="536">
        <v>0.1</v>
      </c>
      <c r="BB54" s="279">
        <f>BA54-AZ54</f>
        <v>-7.9</v>
      </c>
      <c r="BC54" s="537">
        <v>8</v>
      </c>
      <c r="BD54" s="536">
        <v>0.1</v>
      </c>
      <c r="BE54" s="279">
        <f>BD54-BC54</f>
        <v>-7.9</v>
      </c>
      <c r="BF54" s="537">
        <v>8</v>
      </c>
      <c r="BG54" s="536">
        <v>0.1</v>
      </c>
      <c r="BH54" s="279">
        <f>BG54-BF54</f>
        <v>-7.9</v>
      </c>
      <c r="BI54" s="537">
        <v>8</v>
      </c>
      <c r="BJ54" s="536">
        <v>0.1</v>
      </c>
      <c r="BK54" s="279">
        <f>BJ54-BI54</f>
        <v>-7.9</v>
      </c>
      <c r="BL54" s="537">
        <v>8</v>
      </c>
      <c r="BM54" s="536">
        <v>0.1</v>
      </c>
      <c r="BN54" s="279">
        <f>BM54-BL54</f>
        <v>-7.9</v>
      </c>
      <c r="BO54" s="537">
        <v>0</v>
      </c>
      <c r="BP54" s="538">
        <v>0</v>
      </c>
      <c r="BQ54" s="279">
        <f>BP54-BO54</f>
        <v>0</v>
      </c>
    </row>
    <row r="55" spans="1:70" s="281" customFormat="1" ht="14.25" customHeight="1">
      <c r="A55" s="666" t="s">
        <v>39</v>
      </c>
      <c r="B55" s="670" t="s">
        <v>13</v>
      </c>
      <c r="C55" s="24" t="s">
        <v>25</v>
      </c>
      <c r="D55" s="252">
        <f t="shared" si="70"/>
        <v>0</v>
      </c>
      <c r="E55" s="253">
        <f t="shared" si="49"/>
        <v>0</v>
      </c>
      <c r="F55" s="254">
        <f t="shared" ref="F55:F64" si="72">SUM(I55,L55,O55,R55,U55,X55,AA55,AD55,AG55,AJ55,AM55,AP55,AS55,AV55,AY55,BB55,BB55,BE55,BH55,BK55,BN55,BQ55)</f>
        <v>0</v>
      </c>
      <c r="G55" s="527"/>
      <c r="H55" s="528"/>
      <c r="I55" s="257">
        <f t="shared" ref="I55:I64" si="73">H55-G55</f>
        <v>0</v>
      </c>
      <c r="J55" s="527"/>
      <c r="K55" s="528"/>
      <c r="L55" s="257">
        <f t="shared" ref="L55:L64" si="74">K55-J55</f>
        <v>0</v>
      </c>
      <c r="M55" s="527"/>
      <c r="N55" s="528"/>
      <c r="O55" s="257">
        <f t="shared" ref="O55:O64" si="75">N55-M55</f>
        <v>0</v>
      </c>
      <c r="P55" s="527"/>
      <c r="Q55" s="528"/>
      <c r="R55" s="257">
        <f t="shared" ref="R55:R64" si="76">Q55-P55</f>
        <v>0</v>
      </c>
      <c r="S55" s="527"/>
      <c r="T55" s="528"/>
      <c r="U55" s="257">
        <f t="shared" ref="U55:U64" si="77">T55-S55</f>
        <v>0</v>
      </c>
      <c r="V55" s="527"/>
      <c r="W55" s="528"/>
      <c r="X55" s="257">
        <f t="shared" ref="X55:X64" si="78">W55-V55</f>
        <v>0</v>
      </c>
      <c r="Y55" s="527"/>
      <c r="Z55" s="528"/>
      <c r="AA55" s="257">
        <f t="shared" ref="AA55:AA64" si="79">Z55-Y55</f>
        <v>0</v>
      </c>
      <c r="AB55" s="527"/>
      <c r="AC55" s="528"/>
      <c r="AD55" s="257">
        <f t="shared" ref="AD55:AD64" si="80">AC55-AB55</f>
        <v>0</v>
      </c>
      <c r="AE55" s="527"/>
      <c r="AF55" s="528"/>
      <c r="AG55" s="257">
        <f t="shared" ref="AG55:AG64" si="81">AF55-AE55</f>
        <v>0</v>
      </c>
      <c r="AH55" s="527"/>
      <c r="AI55" s="528"/>
      <c r="AJ55" s="257">
        <f t="shared" ref="AJ55:AJ64" si="82">AI55-AH55</f>
        <v>0</v>
      </c>
      <c r="AK55" s="527"/>
      <c r="AL55" s="528"/>
      <c r="AM55" s="257">
        <f t="shared" ref="AM55:AM64" si="83">AL55-AK55</f>
        <v>0</v>
      </c>
      <c r="AN55" s="527"/>
      <c r="AO55" s="528"/>
      <c r="AP55" s="257">
        <f t="shared" ref="AP55:AP64" si="84">AO55-AN55</f>
        <v>0</v>
      </c>
      <c r="AQ55" s="527"/>
      <c r="AR55" s="528"/>
      <c r="AS55" s="257">
        <f t="shared" ref="AS55:AS64" si="85">AR55-AQ55</f>
        <v>0</v>
      </c>
      <c r="AT55" s="527"/>
      <c r="AU55" s="528"/>
      <c r="AV55" s="257">
        <f t="shared" ref="AV55:AV64" si="86">AU55-AT55</f>
        <v>0</v>
      </c>
      <c r="AW55" s="527"/>
      <c r="AX55" s="528"/>
      <c r="AY55" s="257">
        <f t="shared" ref="AY55:AY64" si="87">AX55-AW55</f>
        <v>0</v>
      </c>
      <c r="AZ55" s="527"/>
      <c r="BA55" s="528"/>
      <c r="BB55" s="257">
        <f t="shared" ref="BB55:BB64" si="88">BA55-AZ55</f>
        <v>0</v>
      </c>
      <c r="BC55" s="527"/>
      <c r="BD55" s="528"/>
      <c r="BE55" s="257">
        <f t="shared" ref="BE55:BE64" si="89">BD55-BC55</f>
        <v>0</v>
      </c>
      <c r="BF55" s="527"/>
      <c r="BG55" s="528"/>
      <c r="BH55" s="257">
        <f t="shared" ref="BH55:BH64" si="90">BG55-BF55</f>
        <v>0</v>
      </c>
      <c r="BI55" s="527"/>
      <c r="BJ55" s="528"/>
      <c r="BK55" s="257">
        <f t="shared" ref="BK55:BK64" si="91">BJ55-BI55</f>
        <v>0</v>
      </c>
      <c r="BL55" s="527"/>
      <c r="BM55" s="528"/>
      <c r="BN55" s="257">
        <f t="shared" ref="BN55:BN64" si="92">BM55-BL55</f>
        <v>0</v>
      </c>
      <c r="BO55" s="527"/>
      <c r="BP55" s="528"/>
      <c r="BQ55" s="257">
        <f t="shared" ref="BQ55:BQ64" si="93">BP55-BO55</f>
        <v>0</v>
      </c>
      <c r="BR55" s="280"/>
    </row>
    <row r="56" spans="1:70">
      <c r="A56" s="666"/>
      <c r="B56" s="670"/>
      <c r="C56" s="24" t="s">
        <v>26</v>
      </c>
      <c r="D56" s="259">
        <f t="shared" si="70"/>
        <v>0</v>
      </c>
      <c r="E56" s="260">
        <f t="shared" si="49"/>
        <v>0</v>
      </c>
      <c r="F56" s="261">
        <f t="shared" si="72"/>
        <v>0</v>
      </c>
      <c r="G56" s="529"/>
      <c r="H56" s="530"/>
      <c r="I56" s="262">
        <f t="shared" si="73"/>
        <v>0</v>
      </c>
      <c r="J56" s="529"/>
      <c r="K56" s="530"/>
      <c r="L56" s="262">
        <f t="shared" si="74"/>
        <v>0</v>
      </c>
      <c r="M56" s="529"/>
      <c r="N56" s="530"/>
      <c r="O56" s="262">
        <f t="shared" si="75"/>
        <v>0</v>
      </c>
      <c r="P56" s="529"/>
      <c r="Q56" s="530"/>
      <c r="R56" s="262">
        <f t="shared" si="76"/>
        <v>0</v>
      </c>
      <c r="S56" s="529"/>
      <c r="T56" s="530"/>
      <c r="U56" s="262">
        <f t="shared" si="77"/>
        <v>0</v>
      </c>
      <c r="V56" s="529"/>
      <c r="W56" s="530"/>
      <c r="X56" s="262">
        <f t="shared" si="78"/>
        <v>0</v>
      </c>
      <c r="Y56" s="529"/>
      <c r="Z56" s="530"/>
      <c r="AA56" s="262">
        <f t="shared" si="79"/>
        <v>0</v>
      </c>
      <c r="AB56" s="529"/>
      <c r="AC56" s="530"/>
      <c r="AD56" s="262">
        <f t="shared" si="80"/>
        <v>0</v>
      </c>
      <c r="AE56" s="529"/>
      <c r="AF56" s="530"/>
      <c r="AG56" s="262">
        <f t="shared" si="81"/>
        <v>0</v>
      </c>
      <c r="AH56" s="529"/>
      <c r="AI56" s="530"/>
      <c r="AJ56" s="262">
        <f t="shared" si="82"/>
        <v>0</v>
      </c>
      <c r="AK56" s="529"/>
      <c r="AL56" s="530"/>
      <c r="AM56" s="262">
        <f t="shared" si="83"/>
        <v>0</v>
      </c>
      <c r="AN56" s="529"/>
      <c r="AO56" s="530"/>
      <c r="AP56" s="262">
        <f t="shared" si="84"/>
        <v>0</v>
      </c>
      <c r="AQ56" s="529"/>
      <c r="AR56" s="530"/>
      <c r="AS56" s="262">
        <f t="shared" si="85"/>
        <v>0</v>
      </c>
      <c r="AT56" s="529"/>
      <c r="AU56" s="530"/>
      <c r="AV56" s="262">
        <f t="shared" si="86"/>
        <v>0</v>
      </c>
      <c r="AW56" s="529"/>
      <c r="AX56" s="530"/>
      <c r="AY56" s="262">
        <f t="shared" si="87"/>
        <v>0</v>
      </c>
      <c r="AZ56" s="529"/>
      <c r="BA56" s="530"/>
      <c r="BB56" s="262">
        <f t="shared" si="88"/>
        <v>0</v>
      </c>
      <c r="BC56" s="529"/>
      <c r="BD56" s="530"/>
      <c r="BE56" s="262">
        <f t="shared" si="89"/>
        <v>0</v>
      </c>
      <c r="BF56" s="529"/>
      <c r="BG56" s="530"/>
      <c r="BH56" s="262">
        <f t="shared" si="90"/>
        <v>0</v>
      </c>
      <c r="BI56" s="529"/>
      <c r="BJ56" s="530"/>
      <c r="BK56" s="262">
        <f t="shared" si="91"/>
        <v>0</v>
      </c>
      <c r="BL56" s="529"/>
      <c r="BM56" s="530"/>
      <c r="BN56" s="262">
        <f t="shared" si="92"/>
        <v>0</v>
      </c>
      <c r="BO56" s="529"/>
      <c r="BP56" s="530"/>
      <c r="BQ56" s="262">
        <f t="shared" si="93"/>
        <v>0</v>
      </c>
    </row>
    <row r="57" spans="1:70">
      <c r="A57" s="666"/>
      <c r="B57" s="670"/>
      <c r="C57" s="24" t="s">
        <v>27</v>
      </c>
      <c r="D57" s="259">
        <f t="shared" si="70"/>
        <v>0</v>
      </c>
      <c r="E57" s="260">
        <f t="shared" si="49"/>
        <v>0</v>
      </c>
      <c r="F57" s="261">
        <f t="shared" si="72"/>
        <v>0</v>
      </c>
      <c r="G57" s="529"/>
      <c r="H57" s="530"/>
      <c r="I57" s="262">
        <f t="shared" si="73"/>
        <v>0</v>
      </c>
      <c r="J57" s="529"/>
      <c r="K57" s="530"/>
      <c r="L57" s="262">
        <f t="shared" si="74"/>
        <v>0</v>
      </c>
      <c r="M57" s="529"/>
      <c r="N57" s="530"/>
      <c r="O57" s="262">
        <f t="shared" si="75"/>
        <v>0</v>
      </c>
      <c r="P57" s="529"/>
      <c r="Q57" s="530"/>
      <c r="R57" s="262">
        <f t="shared" si="76"/>
        <v>0</v>
      </c>
      <c r="S57" s="529"/>
      <c r="T57" s="530"/>
      <c r="U57" s="262">
        <f t="shared" si="77"/>
        <v>0</v>
      </c>
      <c r="V57" s="529"/>
      <c r="W57" s="530"/>
      <c r="X57" s="262">
        <f t="shared" si="78"/>
        <v>0</v>
      </c>
      <c r="Y57" s="529"/>
      <c r="Z57" s="530"/>
      <c r="AA57" s="262">
        <f t="shared" si="79"/>
        <v>0</v>
      </c>
      <c r="AB57" s="529"/>
      <c r="AC57" s="530"/>
      <c r="AD57" s="262">
        <f t="shared" si="80"/>
        <v>0</v>
      </c>
      <c r="AE57" s="529"/>
      <c r="AF57" s="530"/>
      <c r="AG57" s="262">
        <f t="shared" si="81"/>
        <v>0</v>
      </c>
      <c r="AH57" s="529"/>
      <c r="AI57" s="530"/>
      <c r="AJ57" s="262">
        <f t="shared" si="82"/>
        <v>0</v>
      </c>
      <c r="AK57" s="529"/>
      <c r="AL57" s="530"/>
      <c r="AM57" s="262">
        <f t="shared" si="83"/>
        <v>0</v>
      </c>
      <c r="AN57" s="529"/>
      <c r="AO57" s="530"/>
      <c r="AP57" s="262">
        <f t="shared" si="84"/>
        <v>0</v>
      </c>
      <c r="AQ57" s="529"/>
      <c r="AR57" s="530"/>
      <c r="AS57" s="262">
        <f t="shared" si="85"/>
        <v>0</v>
      </c>
      <c r="AT57" s="529"/>
      <c r="AU57" s="530"/>
      <c r="AV57" s="262">
        <f t="shared" si="86"/>
        <v>0</v>
      </c>
      <c r="AW57" s="529"/>
      <c r="AX57" s="530"/>
      <c r="AY57" s="262">
        <f t="shared" si="87"/>
        <v>0</v>
      </c>
      <c r="AZ57" s="529"/>
      <c r="BA57" s="530"/>
      <c r="BB57" s="262">
        <f t="shared" si="88"/>
        <v>0</v>
      </c>
      <c r="BC57" s="529"/>
      <c r="BD57" s="530"/>
      <c r="BE57" s="262">
        <f t="shared" si="89"/>
        <v>0</v>
      </c>
      <c r="BF57" s="529"/>
      <c r="BG57" s="530"/>
      <c r="BH57" s="262">
        <f t="shared" si="90"/>
        <v>0</v>
      </c>
      <c r="BI57" s="529"/>
      <c r="BJ57" s="530"/>
      <c r="BK57" s="262">
        <f t="shared" si="91"/>
        <v>0</v>
      </c>
      <c r="BL57" s="529"/>
      <c r="BM57" s="530"/>
      <c r="BN57" s="262">
        <f t="shared" si="92"/>
        <v>0</v>
      </c>
      <c r="BO57" s="529"/>
      <c r="BP57" s="530"/>
      <c r="BQ57" s="262">
        <f t="shared" si="93"/>
        <v>0</v>
      </c>
    </row>
    <row r="58" spans="1:70">
      <c r="A58" s="666"/>
      <c r="B58" s="670"/>
      <c r="C58" s="24" t="s">
        <v>28</v>
      </c>
      <c r="D58" s="259">
        <f t="shared" si="70"/>
        <v>0</v>
      </c>
      <c r="E58" s="260">
        <f t="shared" si="49"/>
        <v>0</v>
      </c>
      <c r="F58" s="261">
        <f t="shared" si="72"/>
        <v>0</v>
      </c>
      <c r="G58" s="529"/>
      <c r="H58" s="530"/>
      <c r="I58" s="262">
        <f t="shared" si="73"/>
        <v>0</v>
      </c>
      <c r="J58" s="529"/>
      <c r="K58" s="530"/>
      <c r="L58" s="262">
        <f t="shared" si="74"/>
        <v>0</v>
      </c>
      <c r="M58" s="529"/>
      <c r="N58" s="530"/>
      <c r="O58" s="262">
        <f t="shared" si="75"/>
        <v>0</v>
      </c>
      <c r="P58" s="529"/>
      <c r="Q58" s="530"/>
      <c r="R58" s="262">
        <f t="shared" si="76"/>
        <v>0</v>
      </c>
      <c r="S58" s="529"/>
      <c r="T58" s="530"/>
      <c r="U58" s="262">
        <f t="shared" si="77"/>
        <v>0</v>
      </c>
      <c r="V58" s="529"/>
      <c r="W58" s="530"/>
      <c r="X58" s="262">
        <f t="shared" si="78"/>
        <v>0</v>
      </c>
      <c r="Y58" s="529"/>
      <c r="Z58" s="530"/>
      <c r="AA58" s="262">
        <f t="shared" si="79"/>
        <v>0</v>
      </c>
      <c r="AB58" s="529"/>
      <c r="AC58" s="530"/>
      <c r="AD58" s="262">
        <f t="shared" si="80"/>
        <v>0</v>
      </c>
      <c r="AE58" s="529"/>
      <c r="AF58" s="530"/>
      <c r="AG58" s="262">
        <f t="shared" si="81"/>
        <v>0</v>
      </c>
      <c r="AH58" s="529"/>
      <c r="AI58" s="530"/>
      <c r="AJ58" s="262">
        <f t="shared" si="82"/>
        <v>0</v>
      </c>
      <c r="AK58" s="529"/>
      <c r="AL58" s="530"/>
      <c r="AM58" s="262">
        <f t="shared" si="83"/>
        <v>0</v>
      </c>
      <c r="AN58" s="529"/>
      <c r="AO58" s="530"/>
      <c r="AP58" s="262">
        <f t="shared" si="84"/>
        <v>0</v>
      </c>
      <c r="AQ58" s="529"/>
      <c r="AR58" s="530"/>
      <c r="AS58" s="262">
        <f t="shared" si="85"/>
        <v>0</v>
      </c>
      <c r="AT58" s="529"/>
      <c r="AU58" s="530"/>
      <c r="AV58" s="262">
        <f t="shared" si="86"/>
        <v>0</v>
      </c>
      <c r="AW58" s="529"/>
      <c r="AX58" s="530"/>
      <c r="AY58" s="262">
        <f t="shared" si="87"/>
        <v>0</v>
      </c>
      <c r="AZ58" s="529"/>
      <c r="BA58" s="530"/>
      <c r="BB58" s="262">
        <f t="shared" si="88"/>
        <v>0</v>
      </c>
      <c r="BC58" s="529"/>
      <c r="BD58" s="530"/>
      <c r="BE58" s="262">
        <f t="shared" si="89"/>
        <v>0</v>
      </c>
      <c r="BF58" s="529"/>
      <c r="BG58" s="530"/>
      <c r="BH58" s="262">
        <f t="shared" si="90"/>
        <v>0</v>
      </c>
      <c r="BI58" s="529"/>
      <c r="BJ58" s="530"/>
      <c r="BK58" s="262">
        <f t="shared" si="91"/>
        <v>0</v>
      </c>
      <c r="BL58" s="529"/>
      <c r="BM58" s="530"/>
      <c r="BN58" s="262">
        <f t="shared" si="92"/>
        <v>0</v>
      </c>
      <c r="BO58" s="529"/>
      <c r="BP58" s="530"/>
      <c r="BQ58" s="262">
        <f t="shared" si="93"/>
        <v>0</v>
      </c>
    </row>
    <row r="59" spans="1:70">
      <c r="A59" s="666"/>
      <c r="B59" s="670"/>
      <c r="C59" s="24" t="s">
        <v>29</v>
      </c>
      <c r="D59" s="259">
        <f t="shared" si="70"/>
        <v>0</v>
      </c>
      <c r="E59" s="260">
        <f t="shared" si="49"/>
        <v>0</v>
      </c>
      <c r="F59" s="261">
        <f t="shared" si="72"/>
        <v>0</v>
      </c>
      <c r="G59" s="529"/>
      <c r="H59" s="530"/>
      <c r="I59" s="262">
        <f t="shared" si="73"/>
        <v>0</v>
      </c>
      <c r="J59" s="529"/>
      <c r="K59" s="530"/>
      <c r="L59" s="262">
        <f t="shared" si="74"/>
        <v>0</v>
      </c>
      <c r="M59" s="529"/>
      <c r="N59" s="530"/>
      <c r="O59" s="262">
        <f t="shared" si="75"/>
        <v>0</v>
      </c>
      <c r="P59" s="529"/>
      <c r="Q59" s="530"/>
      <c r="R59" s="262">
        <f t="shared" si="76"/>
        <v>0</v>
      </c>
      <c r="S59" s="529"/>
      <c r="T59" s="530"/>
      <c r="U59" s="262">
        <f t="shared" si="77"/>
        <v>0</v>
      </c>
      <c r="V59" s="529"/>
      <c r="W59" s="530"/>
      <c r="X59" s="262">
        <f t="shared" si="78"/>
        <v>0</v>
      </c>
      <c r="Y59" s="529"/>
      <c r="Z59" s="530"/>
      <c r="AA59" s="262">
        <f t="shared" si="79"/>
        <v>0</v>
      </c>
      <c r="AB59" s="529"/>
      <c r="AC59" s="530"/>
      <c r="AD59" s="262">
        <f t="shared" si="80"/>
        <v>0</v>
      </c>
      <c r="AE59" s="529"/>
      <c r="AF59" s="530"/>
      <c r="AG59" s="262">
        <f t="shared" si="81"/>
        <v>0</v>
      </c>
      <c r="AH59" s="529"/>
      <c r="AI59" s="530"/>
      <c r="AJ59" s="262">
        <f t="shared" si="82"/>
        <v>0</v>
      </c>
      <c r="AK59" s="529"/>
      <c r="AL59" s="530"/>
      <c r="AM59" s="262">
        <f t="shared" si="83"/>
        <v>0</v>
      </c>
      <c r="AN59" s="529"/>
      <c r="AO59" s="530"/>
      <c r="AP59" s="262">
        <f t="shared" si="84"/>
        <v>0</v>
      </c>
      <c r="AQ59" s="529"/>
      <c r="AR59" s="530"/>
      <c r="AS59" s="262">
        <f t="shared" si="85"/>
        <v>0</v>
      </c>
      <c r="AT59" s="529"/>
      <c r="AU59" s="530"/>
      <c r="AV59" s="262">
        <f t="shared" si="86"/>
        <v>0</v>
      </c>
      <c r="AW59" s="529"/>
      <c r="AX59" s="530"/>
      <c r="AY59" s="262">
        <f t="shared" si="87"/>
        <v>0</v>
      </c>
      <c r="AZ59" s="529"/>
      <c r="BA59" s="530"/>
      <c r="BB59" s="262">
        <f t="shared" si="88"/>
        <v>0</v>
      </c>
      <c r="BC59" s="529"/>
      <c r="BD59" s="530"/>
      <c r="BE59" s="262">
        <f t="shared" si="89"/>
        <v>0</v>
      </c>
      <c r="BF59" s="529"/>
      <c r="BG59" s="530"/>
      <c r="BH59" s="262">
        <f t="shared" si="90"/>
        <v>0</v>
      </c>
      <c r="BI59" s="529"/>
      <c r="BJ59" s="530"/>
      <c r="BK59" s="262">
        <f t="shared" si="91"/>
        <v>0</v>
      </c>
      <c r="BL59" s="529"/>
      <c r="BM59" s="530"/>
      <c r="BN59" s="262">
        <f t="shared" si="92"/>
        <v>0</v>
      </c>
      <c r="BO59" s="529"/>
      <c r="BP59" s="530"/>
      <c r="BQ59" s="262">
        <f t="shared" si="93"/>
        <v>0</v>
      </c>
    </row>
    <row r="60" spans="1:70">
      <c r="A60" s="666"/>
      <c r="B60" s="670"/>
      <c r="C60" s="24" t="s">
        <v>30</v>
      </c>
      <c r="D60" s="259">
        <f t="shared" si="70"/>
        <v>0</v>
      </c>
      <c r="E60" s="260">
        <f t="shared" si="49"/>
        <v>0</v>
      </c>
      <c r="F60" s="261">
        <f t="shared" si="72"/>
        <v>0</v>
      </c>
      <c r="G60" s="529"/>
      <c r="H60" s="530"/>
      <c r="I60" s="262">
        <f t="shared" si="73"/>
        <v>0</v>
      </c>
      <c r="J60" s="529"/>
      <c r="K60" s="530"/>
      <c r="L60" s="262">
        <f t="shared" si="74"/>
        <v>0</v>
      </c>
      <c r="M60" s="529"/>
      <c r="N60" s="530"/>
      <c r="O60" s="262">
        <f t="shared" si="75"/>
        <v>0</v>
      </c>
      <c r="P60" s="529"/>
      <c r="Q60" s="530"/>
      <c r="R60" s="262">
        <f t="shared" si="76"/>
        <v>0</v>
      </c>
      <c r="S60" s="529"/>
      <c r="T60" s="530"/>
      <c r="U60" s="262">
        <f t="shared" si="77"/>
        <v>0</v>
      </c>
      <c r="V60" s="529"/>
      <c r="W60" s="530"/>
      <c r="X60" s="262">
        <f t="shared" si="78"/>
        <v>0</v>
      </c>
      <c r="Y60" s="529"/>
      <c r="Z60" s="530"/>
      <c r="AA60" s="262">
        <f t="shared" si="79"/>
        <v>0</v>
      </c>
      <c r="AB60" s="529"/>
      <c r="AC60" s="530"/>
      <c r="AD60" s="262">
        <f t="shared" si="80"/>
        <v>0</v>
      </c>
      <c r="AE60" s="529"/>
      <c r="AF60" s="530"/>
      <c r="AG60" s="262">
        <f t="shared" si="81"/>
        <v>0</v>
      </c>
      <c r="AH60" s="529"/>
      <c r="AI60" s="530"/>
      <c r="AJ60" s="262">
        <f t="shared" si="82"/>
        <v>0</v>
      </c>
      <c r="AK60" s="529"/>
      <c r="AL60" s="530"/>
      <c r="AM60" s="262">
        <f t="shared" si="83"/>
        <v>0</v>
      </c>
      <c r="AN60" s="529"/>
      <c r="AO60" s="530"/>
      <c r="AP60" s="262">
        <f t="shared" si="84"/>
        <v>0</v>
      </c>
      <c r="AQ60" s="529"/>
      <c r="AR60" s="530"/>
      <c r="AS60" s="262">
        <f t="shared" si="85"/>
        <v>0</v>
      </c>
      <c r="AT60" s="529"/>
      <c r="AU60" s="530"/>
      <c r="AV60" s="262">
        <f t="shared" si="86"/>
        <v>0</v>
      </c>
      <c r="AW60" s="529"/>
      <c r="AX60" s="530"/>
      <c r="AY60" s="262">
        <f t="shared" si="87"/>
        <v>0</v>
      </c>
      <c r="AZ60" s="529"/>
      <c r="BA60" s="530"/>
      <c r="BB60" s="262">
        <f t="shared" si="88"/>
        <v>0</v>
      </c>
      <c r="BC60" s="529"/>
      <c r="BD60" s="530"/>
      <c r="BE60" s="262">
        <f t="shared" si="89"/>
        <v>0</v>
      </c>
      <c r="BF60" s="529"/>
      <c r="BG60" s="530"/>
      <c r="BH60" s="262">
        <f t="shared" si="90"/>
        <v>0</v>
      </c>
      <c r="BI60" s="529"/>
      <c r="BJ60" s="530"/>
      <c r="BK60" s="262">
        <f t="shared" si="91"/>
        <v>0</v>
      </c>
      <c r="BL60" s="529"/>
      <c r="BM60" s="530"/>
      <c r="BN60" s="262">
        <f t="shared" si="92"/>
        <v>0</v>
      </c>
      <c r="BO60" s="529"/>
      <c r="BP60" s="530"/>
      <c r="BQ60" s="262">
        <f t="shared" si="93"/>
        <v>0</v>
      </c>
    </row>
    <row r="61" spans="1:70">
      <c r="A61" s="666"/>
      <c r="B61" s="670"/>
      <c r="C61" s="24" t="s">
        <v>31</v>
      </c>
      <c r="D61" s="259">
        <f t="shared" si="70"/>
        <v>0</v>
      </c>
      <c r="E61" s="260">
        <f t="shared" si="49"/>
        <v>0</v>
      </c>
      <c r="F61" s="261">
        <f t="shared" si="72"/>
        <v>0</v>
      </c>
      <c r="G61" s="529"/>
      <c r="H61" s="530"/>
      <c r="I61" s="262">
        <f t="shared" si="73"/>
        <v>0</v>
      </c>
      <c r="J61" s="529"/>
      <c r="K61" s="530"/>
      <c r="L61" s="262">
        <f t="shared" si="74"/>
        <v>0</v>
      </c>
      <c r="M61" s="529"/>
      <c r="N61" s="530"/>
      <c r="O61" s="262">
        <f t="shared" si="75"/>
        <v>0</v>
      </c>
      <c r="P61" s="529"/>
      <c r="Q61" s="530"/>
      <c r="R61" s="262">
        <f t="shared" si="76"/>
        <v>0</v>
      </c>
      <c r="S61" s="529"/>
      <c r="T61" s="530"/>
      <c r="U61" s="262">
        <f t="shared" si="77"/>
        <v>0</v>
      </c>
      <c r="V61" s="529"/>
      <c r="W61" s="530"/>
      <c r="X61" s="262">
        <f t="shared" si="78"/>
        <v>0</v>
      </c>
      <c r="Y61" s="529"/>
      <c r="Z61" s="530"/>
      <c r="AA61" s="262">
        <f t="shared" si="79"/>
        <v>0</v>
      </c>
      <c r="AB61" s="529"/>
      <c r="AC61" s="530"/>
      <c r="AD61" s="262">
        <f t="shared" si="80"/>
        <v>0</v>
      </c>
      <c r="AE61" s="529"/>
      <c r="AF61" s="530"/>
      <c r="AG61" s="262">
        <f t="shared" si="81"/>
        <v>0</v>
      </c>
      <c r="AH61" s="529"/>
      <c r="AI61" s="530"/>
      <c r="AJ61" s="262">
        <f t="shared" si="82"/>
        <v>0</v>
      </c>
      <c r="AK61" s="529"/>
      <c r="AL61" s="530"/>
      <c r="AM61" s="262">
        <f t="shared" si="83"/>
        <v>0</v>
      </c>
      <c r="AN61" s="529"/>
      <c r="AO61" s="530"/>
      <c r="AP61" s="262">
        <f t="shared" si="84"/>
        <v>0</v>
      </c>
      <c r="AQ61" s="529"/>
      <c r="AR61" s="530"/>
      <c r="AS61" s="262">
        <f t="shared" si="85"/>
        <v>0</v>
      </c>
      <c r="AT61" s="529"/>
      <c r="AU61" s="530"/>
      <c r="AV61" s="262">
        <f t="shared" si="86"/>
        <v>0</v>
      </c>
      <c r="AW61" s="529"/>
      <c r="AX61" s="530"/>
      <c r="AY61" s="262">
        <f t="shared" si="87"/>
        <v>0</v>
      </c>
      <c r="AZ61" s="529"/>
      <c r="BA61" s="530"/>
      <c r="BB61" s="262">
        <f t="shared" si="88"/>
        <v>0</v>
      </c>
      <c r="BC61" s="529"/>
      <c r="BD61" s="530"/>
      <c r="BE61" s="262">
        <f t="shared" si="89"/>
        <v>0</v>
      </c>
      <c r="BF61" s="529"/>
      <c r="BG61" s="530"/>
      <c r="BH61" s="262">
        <f t="shared" si="90"/>
        <v>0</v>
      </c>
      <c r="BI61" s="529"/>
      <c r="BJ61" s="530"/>
      <c r="BK61" s="262">
        <f t="shared" si="91"/>
        <v>0</v>
      </c>
      <c r="BL61" s="529"/>
      <c r="BM61" s="530"/>
      <c r="BN61" s="262">
        <f t="shared" si="92"/>
        <v>0</v>
      </c>
      <c r="BO61" s="529"/>
      <c r="BP61" s="530"/>
      <c r="BQ61" s="262">
        <f t="shared" si="93"/>
        <v>0</v>
      </c>
    </row>
    <row r="62" spans="1:70">
      <c r="A62" s="666"/>
      <c r="B62" s="670"/>
      <c r="C62" s="24" t="s">
        <v>32</v>
      </c>
      <c r="D62" s="259">
        <f t="shared" ref="D62:D64" si="94">SUM(G62,J62,M62,P62,S62,V62,Y62,AB62,AE62,AH62,AK62,AN62,AQ62,AT62,AW62,AZ62,AZ62,BC62,BF62,BI62,BL62,BO62)</f>
        <v>0</v>
      </c>
      <c r="E62" s="260">
        <f t="shared" si="49"/>
        <v>0</v>
      </c>
      <c r="F62" s="261">
        <f t="shared" si="72"/>
        <v>0</v>
      </c>
      <c r="G62" s="529"/>
      <c r="H62" s="530"/>
      <c r="I62" s="262">
        <f t="shared" si="73"/>
        <v>0</v>
      </c>
      <c r="J62" s="529"/>
      <c r="K62" s="530"/>
      <c r="L62" s="262">
        <f t="shared" si="74"/>
        <v>0</v>
      </c>
      <c r="M62" s="529"/>
      <c r="N62" s="530"/>
      <c r="O62" s="262">
        <f t="shared" si="75"/>
        <v>0</v>
      </c>
      <c r="P62" s="529"/>
      <c r="Q62" s="530"/>
      <c r="R62" s="262">
        <f t="shared" si="76"/>
        <v>0</v>
      </c>
      <c r="S62" s="529"/>
      <c r="T62" s="530"/>
      <c r="U62" s="262">
        <f t="shared" si="77"/>
        <v>0</v>
      </c>
      <c r="V62" s="529"/>
      <c r="W62" s="530"/>
      <c r="X62" s="262">
        <f t="shared" si="78"/>
        <v>0</v>
      </c>
      <c r="Y62" s="529"/>
      <c r="Z62" s="530"/>
      <c r="AA62" s="262">
        <f t="shared" si="79"/>
        <v>0</v>
      </c>
      <c r="AB62" s="529"/>
      <c r="AC62" s="530"/>
      <c r="AD62" s="262">
        <f t="shared" si="80"/>
        <v>0</v>
      </c>
      <c r="AE62" s="529"/>
      <c r="AF62" s="530"/>
      <c r="AG62" s="262">
        <f t="shared" si="81"/>
        <v>0</v>
      </c>
      <c r="AH62" s="529"/>
      <c r="AI62" s="530"/>
      <c r="AJ62" s="262">
        <f t="shared" si="82"/>
        <v>0</v>
      </c>
      <c r="AK62" s="529"/>
      <c r="AL62" s="530"/>
      <c r="AM62" s="262">
        <f t="shared" si="83"/>
        <v>0</v>
      </c>
      <c r="AN62" s="529"/>
      <c r="AO62" s="530"/>
      <c r="AP62" s="262">
        <f t="shared" si="84"/>
        <v>0</v>
      </c>
      <c r="AQ62" s="529"/>
      <c r="AR62" s="530"/>
      <c r="AS62" s="262">
        <f t="shared" si="85"/>
        <v>0</v>
      </c>
      <c r="AT62" s="529"/>
      <c r="AU62" s="530"/>
      <c r="AV62" s="262">
        <f t="shared" si="86"/>
        <v>0</v>
      </c>
      <c r="AW62" s="529"/>
      <c r="AX62" s="530"/>
      <c r="AY62" s="262">
        <f t="shared" si="87"/>
        <v>0</v>
      </c>
      <c r="AZ62" s="529"/>
      <c r="BA62" s="530"/>
      <c r="BB62" s="262">
        <f t="shared" si="88"/>
        <v>0</v>
      </c>
      <c r="BC62" s="529"/>
      <c r="BD62" s="530"/>
      <c r="BE62" s="262">
        <f t="shared" si="89"/>
        <v>0</v>
      </c>
      <c r="BF62" s="529"/>
      <c r="BG62" s="530"/>
      <c r="BH62" s="262">
        <f t="shared" si="90"/>
        <v>0</v>
      </c>
      <c r="BI62" s="529"/>
      <c r="BJ62" s="530"/>
      <c r="BK62" s="262">
        <f t="shared" si="91"/>
        <v>0</v>
      </c>
      <c r="BL62" s="529"/>
      <c r="BM62" s="530"/>
      <c r="BN62" s="262">
        <f t="shared" si="92"/>
        <v>0</v>
      </c>
      <c r="BO62" s="529"/>
      <c r="BP62" s="530"/>
      <c r="BQ62" s="262">
        <f t="shared" si="93"/>
        <v>0</v>
      </c>
    </row>
    <row r="63" spans="1:70">
      <c r="A63" s="666"/>
      <c r="B63" s="670"/>
      <c r="C63" s="24" t="s">
        <v>33</v>
      </c>
      <c r="D63" s="259">
        <f t="shared" si="94"/>
        <v>0</v>
      </c>
      <c r="E63" s="260">
        <f t="shared" si="49"/>
        <v>0</v>
      </c>
      <c r="F63" s="261">
        <f t="shared" si="72"/>
        <v>0</v>
      </c>
      <c r="G63" s="529"/>
      <c r="H63" s="530"/>
      <c r="I63" s="262">
        <f t="shared" si="73"/>
        <v>0</v>
      </c>
      <c r="J63" s="529"/>
      <c r="K63" s="530"/>
      <c r="L63" s="262">
        <f t="shared" si="74"/>
        <v>0</v>
      </c>
      <c r="M63" s="529"/>
      <c r="N63" s="530"/>
      <c r="O63" s="262">
        <f t="shared" si="75"/>
        <v>0</v>
      </c>
      <c r="P63" s="529"/>
      <c r="Q63" s="530"/>
      <c r="R63" s="262">
        <f t="shared" si="76"/>
        <v>0</v>
      </c>
      <c r="S63" s="529"/>
      <c r="T63" s="530"/>
      <c r="U63" s="262">
        <f t="shared" si="77"/>
        <v>0</v>
      </c>
      <c r="V63" s="529"/>
      <c r="W63" s="530"/>
      <c r="X63" s="262">
        <f t="shared" si="78"/>
        <v>0</v>
      </c>
      <c r="Y63" s="529"/>
      <c r="Z63" s="530"/>
      <c r="AA63" s="262">
        <f t="shared" si="79"/>
        <v>0</v>
      </c>
      <c r="AB63" s="529"/>
      <c r="AC63" s="530"/>
      <c r="AD63" s="262">
        <f t="shared" si="80"/>
        <v>0</v>
      </c>
      <c r="AE63" s="529"/>
      <c r="AF63" s="530"/>
      <c r="AG63" s="262">
        <f t="shared" si="81"/>
        <v>0</v>
      </c>
      <c r="AH63" s="529"/>
      <c r="AI63" s="530"/>
      <c r="AJ63" s="262">
        <f t="shared" si="82"/>
        <v>0</v>
      </c>
      <c r="AK63" s="529"/>
      <c r="AL63" s="530"/>
      <c r="AM63" s="262">
        <f t="shared" si="83"/>
        <v>0</v>
      </c>
      <c r="AN63" s="529"/>
      <c r="AO63" s="530"/>
      <c r="AP63" s="262">
        <f t="shared" si="84"/>
        <v>0</v>
      </c>
      <c r="AQ63" s="529"/>
      <c r="AR63" s="530"/>
      <c r="AS63" s="262">
        <f t="shared" si="85"/>
        <v>0</v>
      </c>
      <c r="AT63" s="529"/>
      <c r="AU63" s="530"/>
      <c r="AV63" s="262">
        <f t="shared" si="86"/>
        <v>0</v>
      </c>
      <c r="AW63" s="529"/>
      <c r="AX63" s="530"/>
      <c r="AY63" s="262">
        <f t="shared" si="87"/>
        <v>0</v>
      </c>
      <c r="AZ63" s="529"/>
      <c r="BA63" s="530"/>
      <c r="BB63" s="262">
        <f t="shared" si="88"/>
        <v>0</v>
      </c>
      <c r="BC63" s="529"/>
      <c r="BD63" s="530"/>
      <c r="BE63" s="262">
        <f t="shared" si="89"/>
        <v>0</v>
      </c>
      <c r="BF63" s="529"/>
      <c r="BG63" s="530"/>
      <c r="BH63" s="262">
        <f t="shared" si="90"/>
        <v>0</v>
      </c>
      <c r="BI63" s="529"/>
      <c r="BJ63" s="530"/>
      <c r="BK63" s="262">
        <f t="shared" si="91"/>
        <v>0</v>
      </c>
      <c r="BL63" s="529"/>
      <c r="BM63" s="530"/>
      <c r="BN63" s="262">
        <f t="shared" si="92"/>
        <v>0</v>
      </c>
      <c r="BO63" s="529"/>
      <c r="BP63" s="530"/>
      <c r="BQ63" s="262">
        <f t="shared" si="93"/>
        <v>0</v>
      </c>
    </row>
    <row r="64" spans="1:70" s="283" customFormat="1" ht="15.75" thickBot="1">
      <c r="A64" s="667"/>
      <c r="B64" s="671"/>
      <c r="C64" s="263" t="s">
        <v>34</v>
      </c>
      <c r="D64" s="264">
        <f t="shared" si="94"/>
        <v>0</v>
      </c>
      <c r="E64" s="265">
        <f t="shared" si="49"/>
        <v>0</v>
      </c>
      <c r="F64" s="266">
        <f t="shared" si="72"/>
        <v>0</v>
      </c>
      <c r="G64" s="531"/>
      <c r="H64" s="532"/>
      <c r="I64" s="267">
        <f t="shared" si="73"/>
        <v>0</v>
      </c>
      <c r="J64" s="531"/>
      <c r="K64" s="532"/>
      <c r="L64" s="267">
        <f t="shared" si="74"/>
        <v>0</v>
      </c>
      <c r="M64" s="531"/>
      <c r="N64" s="532"/>
      <c r="O64" s="267">
        <f t="shared" si="75"/>
        <v>0</v>
      </c>
      <c r="P64" s="531"/>
      <c r="Q64" s="532"/>
      <c r="R64" s="267">
        <f t="shared" si="76"/>
        <v>0</v>
      </c>
      <c r="S64" s="531"/>
      <c r="T64" s="532"/>
      <c r="U64" s="267">
        <f t="shared" si="77"/>
        <v>0</v>
      </c>
      <c r="V64" s="531"/>
      <c r="W64" s="532"/>
      <c r="X64" s="267">
        <f t="shared" si="78"/>
        <v>0</v>
      </c>
      <c r="Y64" s="531"/>
      <c r="Z64" s="532"/>
      <c r="AA64" s="267">
        <f t="shared" si="79"/>
        <v>0</v>
      </c>
      <c r="AB64" s="531"/>
      <c r="AC64" s="532"/>
      <c r="AD64" s="267">
        <f t="shared" si="80"/>
        <v>0</v>
      </c>
      <c r="AE64" s="531"/>
      <c r="AF64" s="532"/>
      <c r="AG64" s="267">
        <f t="shared" si="81"/>
        <v>0</v>
      </c>
      <c r="AH64" s="531"/>
      <c r="AI64" s="532"/>
      <c r="AJ64" s="267">
        <f t="shared" si="82"/>
        <v>0</v>
      </c>
      <c r="AK64" s="531"/>
      <c r="AL64" s="532"/>
      <c r="AM64" s="267">
        <f t="shared" si="83"/>
        <v>0</v>
      </c>
      <c r="AN64" s="531"/>
      <c r="AO64" s="532"/>
      <c r="AP64" s="267">
        <f t="shared" si="84"/>
        <v>0</v>
      </c>
      <c r="AQ64" s="531"/>
      <c r="AR64" s="532"/>
      <c r="AS64" s="267">
        <f t="shared" si="85"/>
        <v>0</v>
      </c>
      <c r="AT64" s="531"/>
      <c r="AU64" s="532"/>
      <c r="AV64" s="267">
        <f t="shared" si="86"/>
        <v>0</v>
      </c>
      <c r="AW64" s="531"/>
      <c r="AX64" s="532"/>
      <c r="AY64" s="267">
        <f t="shared" si="87"/>
        <v>0</v>
      </c>
      <c r="AZ64" s="531"/>
      <c r="BA64" s="532"/>
      <c r="BB64" s="267">
        <f t="shared" si="88"/>
        <v>0</v>
      </c>
      <c r="BC64" s="531"/>
      <c r="BD64" s="532"/>
      <c r="BE64" s="267">
        <f t="shared" si="89"/>
        <v>0</v>
      </c>
      <c r="BF64" s="531"/>
      <c r="BG64" s="532"/>
      <c r="BH64" s="267">
        <f t="shared" si="90"/>
        <v>0</v>
      </c>
      <c r="BI64" s="531"/>
      <c r="BJ64" s="532"/>
      <c r="BK64" s="267">
        <f t="shared" si="91"/>
        <v>0</v>
      </c>
      <c r="BL64" s="531"/>
      <c r="BM64" s="532"/>
      <c r="BN64" s="267">
        <f t="shared" si="92"/>
        <v>0</v>
      </c>
      <c r="BO64" s="531"/>
      <c r="BP64" s="532"/>
      <c r="BQ64" s="267">
        <f t="shared" si="93"/>
        <v>0</v>
      </c>
      <c r="BR64" s="282"/>
    </row>
    <row r="65" spans="1:70" ht="15.75" thickBot="1">
      <c r="A65" s="284"/>
      <c r="B65" s="285"/>
      <c r="C65" s="286"/>
      <c r="D65" s="285"/>
      <c r="E65" s="285"/>
      <c r="F65" s="287" t="s">
        <v>104</v>
      </c>
      <c r="G65" s="288"/>
      <c r="H65" s="288"/>
      <c r="I65" s="289"/>
      <c r="J65" s="288"/>
      <c r="K65" s="288"/>
      <c r="L65" s="289"/>
      <c r="M65" s="288"/>
      <c r="N65" s="288"/>
      <c r="O65" s="289"/>
      <c r="P65" s="288"/>
      <c r="Q65" s="288"/>
      <c r="R65" s="289"/>
      <c r="S65" s="288"/>
      <c r="T65" s="288"/>
      <c r="U65" s="289"/>
      <c r="V65" s="288"/>
      <c r="W65" s="288"/>
      <c r="X65" s="289"/>
      <c r="Y65" s="288"/>
      <c r="Z65" s="288"/>
      <c r="AA65" s="289"/>
      <c r="AB65" s="288"/>
      <c r="AC65" s="288"/>
      <c r="AD65" s="289"/>
      <c r="AE65" s="288"/>
      <c r="AF65" s="288"/>
      <c r="AG65" s="289"/>
      <c r="AH65" s="288"/>
      <c r="AI65" s="288"/>
      <c r="AJ65" s="289"/>
      <c r="AK65" s="288"/>
      <c r="AL65" s="288"/>
      <c r="AM65" s="289"/>
      <c r="AN65" s="288"/>
      <c r="AO65" s="288"/>
      <c r="AP65" s="289"/>
      <c r="AQ65" s="288"/>
      <c r="AR65" s="288"/>
      <c r="AS65" s="289"/>
      <c r="AT65" s="288"/>
      <c r="AU65" s="288"/>
      <c r="AV65" s="289"/>
      <c r="AW65" s="288"/>
      <c r="AX65" s="288"/>
      <c r="AY65" s="289"/>
      <c r="AZ65" s="288"/>
      <c r="BA65" s="288"/>
      <c r="BB65" s="289"/>
      <c r="BC65" s="288"/>
      <c r="BD65" s="288"/>
      <c r="BE65" s="289"/>
      <c r="BF65" s="288"/>
      <c r="BG65" s="288"/>
      <c r="BH65" s="289"/>
      <c r="BI65" s="288"/>
      <c r="BJ65" s="288"/>
      <c r="BK65" s="289"/>
      <c r="BL65" s="288"/>
      <c r="BM65" s="288"/>
      <c r="BN65" s="289"/>
      <c r="BO65" s="288"/>
      <c r="BP65" s="288"/>
      <c r="BQ65" s="289"/>
    </row>
    <row r="66" spans="1:70">
      <c r="A66" s="676" t="s">
        <v>237</v>
      </c>
      <c r="B66" s="678" t="s">
        <v>37</v>
      </c>
      <c r="C66" s="290" t="s">
        <v>25</v>
      </c>
      <c r="D66" s="291">
        <f t="shared" ref="D66:D75" si="95">SUM(G66,J66,M66,P66,S66,V66,Y66,AB66,AE66,AH66,AK66,AN66,AQ66,AT66,AW66,AZ66,AZ66,BC66,BF66,BI66,BL66,BO66)</f>
        <v>0</v>
      </c>
      <c r="E66" s="292">
        <f t="shared" ref="E66:E75" si="96">SUM(H66,K66,N66,Q66,T66,W66,Z66,AC66,AF66,AI66,AL66,AO66,AR66,AU66,AX66,BA66,BA66,BD66,BG66,BJ66,BM66,BP66)</f>
        <v>210000</v>
      </c>
      <c r="F66" s="293">
        <f t="shared" ref="F66:F75" si="97">SUM(I66,L66,O66,R66,U66,X66,AA66,AD66,AG66,AJ66,AM66,AP66,AS66,AV66,AY66,BB66,BB66,BE66,BH66,BK66,BN66,BQ66)</f>
        <v>210000</v>
      </c>
      <c r="G66" s="294">
        <f t="shared" ref="G66:G75" si="98">G5</f>
        <v>0</v>
      </c>
      <c r="H66" s="295">
        <f t="shared" ref="H66:H75" si="99">H5*(1+$BR$66)</f>
        <v>10000</v>
      </c>
      <c r="I66" s="296">
        <f>H66-G66</f>
        <v>10000</v>
      </c>
      <c r="J66" s="294">
        <f t="shared" ref="J66:J75" si="100">J5</f>
        <v>0</v>
      </c>
      <c r="K66" s="295">
        <f t="shared" ref="K66:K75" si="101">K5*(1+$BR$66)</f>
        <v>10000</v>
      </c>
      <c r="L66" s="296">
        <f>K66-J66</f>
        <v>10000</v>
      </c>
      <c r="M66" s="294">
        <f t="shared" ref="M66:M75" si="102">M5</f>
        <v>0</v>
      </c>
      <c r="N66" s="295">
        <f t="shared" ref="N66:N75" si="103">N5*(1+$BR$66)</f>
        <v>10000</v>
      </c>
      <c r="O66" s="296">
        <f>N66-M66</f>
        <v>10000</v>
      </c>
      <c r="P66" s="294">
        <f t="shared" ref="P66:P75" si="104">P5</f>
        <v>0</v>
      </c>
      <c r="Q66" s="295">
        <f t="shared" ref="Q66:Q75" si="105">Q5*(1+$BR$66)</f>
        <v>10000</v>
      </c>
      <c r="R66" s="296">
        <f t="shared" ref="R66:R75" si="106">Q66-P66</f>
        <v>10000</v>
      </c>
      <c r="S66" s="294">
        <f t="shared" ref="S66:S75" si="107">S5</f>
        <v>0</v>
      </c>
      <c r="T66" s="295">
        <f t="shared" ref="T66:T75" si="108">T5*(1+$BR$66)</f>
        <v>10000</v>
      </c>
      <c r="U66" s="296">
        <f t="shared" ref="U66:U75" si="109">T66-S66</f>
        <v>10000</v>
      </c>
      <c r="V66" s="294">
        <f t="shared" ref="V66:V75" si="110">V5</f>
        <v>0</v>
      </c>
      <c r="W66" s="295">
        <f t="shared" ref="W66:W75" si="111">W5*(1+$BR$66)</f>
        <v>10000</v>
      </c>
      <c r="X66" s="296">
        <f t="shared" ref="X66:X75" si="112">W66-V66</f>
        <v>10000</v>
      </c>
      <c r="Y66" s="294">
        <f t="shared" ref="Y66:Y75" si="113">Y5</f>
        <v>0</v>
      </c>
      <c r="Z66" s="295">
        <f t="shared" ref="Z66:Z75" si="114">Z5*(1+$BR$66)</f>
        <v>10000</v>
      </c>
      <c r="AA66" s="296">
        <f>Z66-Y66</f>
        <v>10000</v>
      </c>
      <c r="AB66" s="294">
        <f t="shared" ref="AB66:AB75" si="115">AB5</f>
        <v>0</v>
      </c>
      <c r="AC66" s="295">
        <f t="shared" ref="AC66:AC75" si="116">AC5*(1+$BR$66)</f>
        <v>10000</v>
      </c>
      <c r="AD66" s="296">
        <f>AC66-AB66</f>
        <v>10000</v>
      </c>
      <c r="AE66" s="294">
        <f t="shared" ref="AE66:AE75" si="117">AE5</f>
        <v>0</v>
      </c>
      <c r="AF66" s="295">
        <f t="shared" ref="AF66:AF75" si="118">AF5*(1+$BR$66)</f>
        <v>10000</v>
      </c>
      <c r="AG66" s="296">
        <f t="shared" ref="AG66:AG75" si="119">AF66-AE66</f>
        <v>10000</v>
      </c>
      <c r="AH66" s="294">
        <f t="shared" ref="AH66:AH75" si="120">AH5</f>
        <v>0</v>
      </c>
      <c r="AI66" s="295">
        <f t="shared" ref="AI66:AI75" si="121">AI5*(1+$BR$66)</f>
        <v>10000</v>
      </c>
      <c r="AJ66" s="296">
        <f t="shared" ref="AJ66:AJ75" si="122">AI66-AH66</f>
        <v>10000</v>
      </c>
      <c r="AK66" s="294">
        <f t="shared" ref="AK66:AK75" si="123">AK5</f>
        <v>0</v>
      </c>
      <c r="AL66" s="295">
        <f t="shared" ref="AL66:AL75" si="124">AL5*(1+$BR$66)</f>
        <v>10000</v>
      </c>
      <c r="AM66" s="296">
        <f t="shared" ref="AM66:AM75" si="125">AL66-AK66</f>
        <v>10000</v>
      </c>
      <c r="AN66" s="294">
        <f t="shared" ref="AN66:AN75" si="126">AN5</f>
        <v>0</v>
      </c>
      <c r="AO66" s="295">
        <f t="shared" ref="AO66:AO75" si="127">AO5*(1+$BR$66)</f>
        <v>10000</v>
      </c>
      <c r="AP66" s="296">
        <f>AO66-AN66</f>
        <v>10000</v>
      </c>
      <c r="AQ66" s="294">
        <f t="shared" ref="AQ66:AQ75" si="128">AQ5</f>
        <v>0</v>
      </c>
      <c r="AR66" s="295">
        <f t="shared" ref="AR66:AR75" si="129">AR5*(1+$BR$66)</f>
        <v>10000</v>
      </c>
      <c r="AS66" s="296">
        <f>AR66-AQ66</f>
        <v>10000</v>
      </c>
      <c r="AT66" s="294">
        <f t="shared" ref="AT66:AT75" si="130">AT5</f>
        <v>0</v>
      </c>
      <c r="AU66" s="295">
        <f t="shared" ref="AU66:AU75" si="131">AU5*(1+$BR$66)</f>
        <v>10000</v>
      </c>
      <c r="AV66" s="296">
        <f t="shared" ref="AV66:AV75" si="132">AU66-AT66</f>
        <v>10000</v>
      </c>
      <c r="AW66" s="294">
        <f t="shared" ref="AW66:AW75" si="133">AW5</f>
        <v>0</v>
      </c>
      <c r="AX66" s="295">
        <f t="shared" ref="AX66:AX75" si="134">AX5*(1+$BR$66)</f>
        <v>10000</v>
      </c>
      <c r="AY66" s="296">
        <f t="shared" ref="AY66:AY75" si="135">AX66-AW66</f>
        <v>10000</v>
      </c>
      <c r="AZ66" s="294">
        <f t="shared" ref="AZ66:AZ75" si="136">AZ5</f>
        <v>0</v>
      </c>
      <c r="BA66" s="295">
        <f t="shared" ref="BA66:BA75" si="137">BA5*(1+$BR$66)</f>
        <v>10000</v>
      </c>
      <c r="BB66" s="296">
        <f t="shared" ref="BB66:BB75" si="138">BA66-AZ66</f>
        <v>10000</v>
      </c>
      <c r="BC66" s="294">
        <f t="shared" ref="BC66:BC75" si="139">BC5</f>
        <v>0</v>
      </c>
      <c r="BD66" s="295">
        <f t="shared" ref="BD66:BD75" si="140">BD5*(1+$BR$66)</f>
        <v>10000</v>
      </c>
      <c r="BE66" s="296">
        <f>BD66-BC66</f>
        <v>10000</v>
      </c>
      <c r="BF66" s="294">
        <f t="shared" ref="BF66:BF75" si="141">BF5</f>
        <v>0</v>
      </c>
      <c r="BG66" s="295">
        <f t="shared" ref="BG66:BG75" si="142">BG5*(1+$BR$66)</f>
        <v>10000</v>
      </c>
      <c r="BH66" s="296">
        <f>BG66-BF66</f>
        <v>10000</v>
      </c>
      <c r="BI66" s="294">
        <f t="shared" ref="BI66:BI75" si="143">BI5</f>
        <v>0</v>
      </c>
      <c r="BJ66" s="295">
        <f t="shared" ref="BJ66:BJ75" si="144">BJ5*(1+$BR$66)</f>
        <v>10000</v>
      </c>
      <c r="BK66" s="296">
        <f t="shared" ref="BK66:BK75" si="145">BJ66-BI66</f>
        <v>10000</v>
      </c>
      <c r="BL66" s="294">
        <f t="shared" ref="BL66:BL75" si="146">BL5</f>
        <v>0</v>
      </c>
      <c r="BM66" s="295">
        <f t="shared" ref="BM66:BM75" si="147">BM5*(1+$BR$66)</f>
        <v>10000</v>
      </c>
      <c r="BN66" s="296">
        <f t="shared" ref="BN66:BN75" si="148">BM66-BL66</f>
        <v>10000</v>
      </c>
      <c r="BO66" s="294">
        <f t="shared" ref="BO66:BO75" si="149">BO5</f>
        <v>0</v>
      </c>
      <c r="BP66" s="295">
        <f t="shared" ref="BP66:BP75" si="150">BP5*(1+$BR$66)</f>
        <v>0</v>
      </c>
      <c r="BQ66" s="296">
        <f t="shared" ref="BQ66:BQ75" si="151">BP66-BO66</f>
        <v>0</v>
      </c>
      <c r="BR66" s="297">
        <f>'Analyza citlivosti - AgendovéIS'!K7</f>
        <v>0</v>
      </c>
    </row>
    <row r="67" spans="1:70">
      <c r="A67" s="676"/>
      <c r="B67" s="678"/>
      <c r="C67" s="290" t="s">
        <v>26</v>
      </c>
      <c r="D67" s="291">
        <f t="shared" si="95"/>
        <v>0</v>
      </c>
      <c r="E67" s="292">
        <f t="shared" si="96"/>
        <v>210000</v>
      </c>
      <c r="F67" s="293">
        <f t="shared" si="97"/>
        <v>210000</v>
      </c>
      <c r="G67" s="298">
        <f t="shared" si="98"/>
        <v>0</v>
      </c>
      <c r="H67" s="299">
        <f t="shared" si="99"/>
        <v>10000</v>
      </c>
      <c r="I67" s="262">
        <f t="shared" ref="I67:I75" si="152">H67-G67</f>
        <v>10000</v>
      </c>
      <c r="J67" s="298">
        <f t="shared" si="100"/>
        <v>0</v>
      </c>
      <c r="K67" s="299">
        <f t="shared" si="101"/>
        <v>10000</v>
      </c>
      <c r="L67" s="262">
        <f t="shared" ref="L67:L75" si="153">K67-J67</f>
        <v>10000</v>
      </c>
      <c r="M67" s="298">
        <f t="shared" si="102"/>
        <v>0</v>
      </c>
      <c r="N67" s="299">
        <f t="shared" si="103"/>
        <v>10000</v>
      </c>
      <c r="O67" s="262">
        <f t="shared" ref="O67:O75" si="154">N67-M67</f>
        <v>10000</v>
      </c>
      <c r="P67" s="298">
        <f t="shared" si="104"/>
        <v>0</v>
      </c>
      <c r="Q67" s="299">
        <f t="shared" si="105"/>
        <v>10000</v>
      </c>
      <c r="R67" s="262">
        <f t="shared" si="106"/>
        <v>10000</v>
      </c>
      <c r="S67" s="298">
        <f t="shared" si="107"/>
        <v>0</v>
      </c>
      <c r="T67" s="299">
        <f t="shared" si="108"/>
        <v>10000</v>
      </c>
      <c r="U67" s="262">
        <f t="shared" si="109"/>
        <v>10000</v>
      </c>
      <c r="V67" s="298">
        <f t="shared" si="110"/>
        <v>0</v>
      </c>
      <c r="W67" s="299">
        <f t="shared" si="111"/>
        <v>10000</v>
      </c>
      <c r="X67" s="262">
        <f t="shared" si="112"/>
        <v>10000</v>
      </c>
      <c r="Y67" s="298">
        <f t="shared" si="113"/>
        <v>0</v>
      </c>
      <c r="Z67" s="299">
        <f t="shared" si="114"/>
        <v>10000</v>
      </c>
      <c r="AA67" s="262">
        <f t="shared" ref="AA67:AA75" si="155">Z67-Y67</f>
        <v>10000</v>
      </c>
      <c r="AB67" s="298">
        <f t="shared" si="115"/>
        <v>0</v>
      </c>
      <c r="AC67" s="299">
        <f t="shared" si="116"/>
        <v>10000</v>
      </c>
      <c r="AD67" s="262">
        <f t="shared" ref="AD67:AD75" si="156">AC67-AB67</f>
        <v>10000</v>
      </c>
      <c r="AE67" s="298">
        <f t="shared" si="117"/>
        <v>0</v>
      </c>
      <c r="AF67" s="299">
        <f t="shared" si="118"/>
        <v>10000</v>
      </c>
      <c r="AG67" s="262">
        <f t="shared" si="119"/>
        <v>10000</v>
      </c>
      <c r="AH67" s="298">
        <f t="shared" si="120"/>
        <v>0</v>
      </c>
      <c r="AI67" s="299">
        <f t="shared" si="121"/>
        <v>10000</v>
      </c>
      <c r="AJ67" s="262">
        <f t="shared" si="122"/>
        <v>10000</v>
      </c>
      <c r="AK67" s="298">
        <f t="shared" si="123"/>
        <v>0</v>
      </c>
      <c r="AL67" s="299">
        <f t="shared" si="124"/>
        <v>10000</v>
      </c>
      <c r="AM67" s="262">
        <f t="shared" si="125"/>
        <v>10000</v>
      </c>
      <c r="AN67" s="298">
        <f t="shared" si="126"/>
        <v>0</v>
      </c>
      <c r="AO67" s="299">
        <f t="shared" si="127"/>
        <v>10000</v>
      </c>
      <c r="AP67" s="262">
        <f t="shared" ref="AP67:AP75" si="157">AO67-AN67</f>
        <v>10000</v>
      </c>
      <c r="AQ67" s="298">
        <f t="shared" si="128"/>
        <v>0</v>
      </c>
      <c r="AR67" s="299">
        <f t="shared" si="129"/>
        <v>10000</v>
      </c>
      <c r="AS67" s="262">
        <f t="shared" ref="AS67:AS75" si="158">AR67-AQ67</f>
        <v>10000</v>
      </c>
      <c r="AT67" s="298">
        <f t="shared" si="130"/>
        <v>0</v>
      </c>
      <c r="AU67" s="299">
        <f t="shared" si="131"/>
        <v>10000</v>
      </c>
      <c r="AV67" s="262">
        <f t="shared" si="132"/>
        <v>10000</v>
      </c>
      <c r="AW67" s="298">
        <f t="shared" si="133"/>
        <v>0</v>
      </c>
      <c r="AX67" s="299">
        <f t="shared" si="134"/>
        <v>10000</v>
      </c>
      <c r="AY67" s="262">
        <f t="shared" si="135"/>
        <v>10000</v>
      </c>
      <c r="AZ67" s="298">
        <f t="shared" si="136"/>
        <v>0</v>
      </c>
      <c r="BA67" s="299">
        <f t="shared" si="137"/>
        <v>10000</v>
      </c>
      <c r="BB67" s="262">
        <f t="shared" si="138"/>
        <v>10000</v>
      </c>
      <c r="BC67" s="298">
        <f t="shared" si="139"/>
        <v>0</v>
      </c>
      <c r="BD67" s="299">
        <f t="shared" si="140"/>
        <v>10000</v>
      </c>
      <c r="BE67" s="262">
        <f t="shared" ref="BE67:BE75" si="159">BD67-BC67</f>
        <v>10000</v>
      </c>
      <c r="BF67" s="298">
        <f t="shared" si="141"/>
        <v>0</v>
      </c>
      <c r="BG67" s="299">
        <f t="shared" si="142"/>
        <v>10000</v>
      </c>
      <c r="BH67" s="262">
        <f t="shared" ref="BH67:BH75" si="160">BG67-BF67</f>
        <v>10000</v>
      </c>
      <c r="BI67" s="298">
        <f t="shared" si="143"/>
        <v>0</v>
      </c>
      <c r="BJ67" s="299">
        <f t="shared" si="144"/>
        <v>10000</v>
      </c>
      <c r="BK67" s="262">
        <f t="shared" si="145"/>
        <v>10000</v>
      </c>
      <c r="BL67" s="298">
        <f t="shared" si="146"/>
        <v>0</v>
      </c>
      <c r="BM67" s="299">
        <f t="shared" si="147"/>
        <v>10000</v>
      </c>
      <c r="BN67" s="262">
        <f t="shared" si="148"/>
        <v>10000</v>
      </c>
      <c r="BO67" s="298">
        <f t="shared" si="149"/>
        <v>0</v>
      </c>
      <c r="BP67" s="299">
        <f t="shared" si="150"/>
        <v>0</v>
      </c>
      <c r="BQ67" s="262">
        <f t="shared" si="151"/>
        <v>0</v>
      </c>
    </row>
    <row r="68" spans="1:70">
      <c r="A68" s="676"/>
      <c r="B68" s="678"/>
      <c r="C68" s="290" t="s">
        <v>27</v>
      </c>
      <c r="D68" s="291">
        <f t="shared" si="95"/>
        <v>0</v>
      </c>
      <c r="E68" s="292">
        <f t="shared" si="96"/>
        <v>210000</v>
      </c>
      <c r="F68" s="293">
        <f t="shared" si="97"/>
        <v>210000</v>
      </c>
      <c r="G68" s="298">
        <f t="shared" si="98"/>
        <v>0</v>
      </c>
      <c r="H68" s="299">
        <f t="shared" si="99"/>
        <v>10000</v>
      </c>
      <c r="I68" s="262">
        <f t="shared" si="152"/>
        <v>10000</v>
      </c>
      <c r="J68" s="298">
        <f t="shared" si="100"/>
        <v>0</v>
      </c>
      <c r="K68" s="299">
        <f t="shared" si="101"/>
        <v>10000</v>
      </c>
      <c r="L68" s="262">
        <f t="shared" si="153"/>
        <v>10000</v>
      </c>
      <c r="M68" s="298">
        <f t="shared" si="102"/>
        <v>0</v>
      </c>
      <c r="N68" s="299">
        <f t="shared" si="103"/>
        <v>10000</v>
      </c>
      <c r="O68" s="262">
        <f t="shared" si="154"/>
        <v>10000</v>
      </c>
      <c r="P68" s="298">
        <f t="shared" si="104"/>
        <v>0</v>
      </c>
      <c r="Q68" s="299">
        <f t="shared" si="105"/>
        <v>10000</v>
      </c>
      <c r="R68" s="262">
        <f t="shared" si="106"/>
        <v>10000</v>
      </c>
      <c r="S68" s="298">
        <f t="shared" si="107"/>
        <v>0</v>
      </c>
      <c r="T68" s="299">
        <f t="shared" si="108"/>
        <v>10000</v>
      </c>
      <c r="U68" s="262">
        <f t="shared" si="109"/>
        <v>10000</v>
      </c>
      <c r="V68" s="298">
        <f t="shared" si="110"/>
        <v>0</v>
      </c>
      <c r="W68" s="299">
        <f t="shared" si="111"/>
        <v>10000</v>
      </c>
      <c r="X68" s="262">
        <f t="shared" si="112"/>
        <v>10000</v>
      </c>
      <c r="Y68" s="298">
        <f t="shared" si="113"/>
        <v>0</v>
      </c>
      <c r="Z68" s="299">
        <f t="shared" si="114"/>
        <v>10000</v>
      </c>
      <c r="AA68" s="262">
        <f t="shared" si="155"/>
        <v>10000</v>
      </c>
      <c r="AB68" s="298">
        <f t="shared" si="115"/>
        <v>0</v>
      </c>
      <c r="AC68" s="299">
        <f t="shared" si="116"/>
        <v>10000</v>
      </c>
      <c r="AD68" s="262">
        <f t="shared" si="156"/>
        <v>10000</v>
      </c>
      <c r="AE68" s="298">
        <f t="shared" si="117"/>
        <v>0</v>
      </c>
      <c r="AF68" s="299">
        <f t="shared" si="118"/>
        <v>10000</v>
      </c>
      <c r="AG68" s="262">
        <f t="shared" si="119"/>
        <v>10000</v>
      </c>
      <c r="AH68" s="298">
        <f t="shared" si="120"/>
        <v>0</v>
      </c>
      <c r="AI68" s="299">
        <f t="shared" si="121"/>
        <v>10000</v>
      </c>
      <c r="AJ68" s="262">
        <f t="shared" si="122"/>
        <v>10000</v>
      </c>
      <c r="AK68" s="298">
        <f t="shared" si="123"/>
        <v>0</v>
      </c>
      <c r="AL68" s="299">
        <f t="shared" si="124"/>
        <v>10000</v>
      </c>
      <c r="AM68" s="262">
        <f t="shared" si="125"/>
        <v>10000</v>
      </c>
      <c r="AN68" s="298">
        <f t="shared" si="126"/>
        <v>0</v>
      </c>
      <c r="AO68" s="299">
        <f t="shared" si="127"/>
        <v>10000</v>
      </c>
      <c r="AP68" s="262">
        <f t="shared" si="157"/>
        <v>10000</v>
      </c>
      <c r="AQ68" s="298">
        <f t="shared" si="128"/>
        <v>0</v>
      </c>
      <c r="AR68" s="299">
        <f t="shared" si="129"/>
        <v>10000</v>
      </c>
      <c r="AS68" s="262">
        <f t="shared" si="158"/>
        <v>10000</v>
      </c>
      <c r="AT68" s="298">
        <f t="shared" si="130"/>
        <v>0</v>
      </c>
      <c r="AU68" s="299">
        <f t="shared" si="131"/>
        <v>10000</v>
      </c>
      <c r="AV68" s="262">
        <f t="shared" si="132"/>
        <v>10000</v>
      </c>
      <c r="AW68" s="298">
        <f t="shared" si="133"/>
        <v>0</v>
      </c>
      <c r="AX68" s="299">
        <f t="shared" si="134"/>
        <v>10000</v>
      </c>
      <c r="AY68" s="262">
        <f t="shared" si="135"/>
        <v>10000</v>
      </c>
      <c r="AZ68" s="298">
        <f t="shared" si="136"/>
        <v>0</v>
      </c>
      <c r="BA68" s="299">
        <f t="shared" si="137"/>
        <v>10000</v>
      </c>
      <c r="BB68" s="262">
        <f t="shared" si="138"/>
        <v>10000</v>
      </c>
      <c r="BC68" s="298">
        <f t="shared" si="139"/>
        <v>0</v>
      </c>
      <c r="BD68" s="299">
        <f t="shared" si="140"/>
        <v>10000</v>
      </c>
      <c r="BE68" s="262">
        <f t="shared" si="159"/>
        <v>10000</v>
      </c>
      <c r="BF68" s="298">
        <f t="shared" si="141"/>
        <v>0</v>
      </c>
      <c r="BG68" s="299">
        <f t="shared" si="142"/>
        <v>10000</v>
      </c>
      <c r="BH68" s="262">
        <f t="shared" si="160"/>
        <v>10000</v>
      </c>
      <c r="BI68" s="298">
        <f t="shared" si="143"/>
        <v>0</v>
      </c>
      <c r="BJ68" s="299">
        <f t="shared" si="144"/>
        <v>10000</v>
      </c>
      <c r="BK68" s="262">
        <f t="shared" si="145"/>
        <v>10000</v>
      </c>
      <c r="BL68" s="298">
        <f t="shared" si="146"/>
        <v>0</v>
      </c>
      <c r="BM68" s="299">
        <f t="shared" si="147"/>
        <v>10000</v>
      </c>
      <c r="BN68" s="262">
        <f t="shared" si="148"/>
        <v>10000</v>
      </c>
      <c r="BO68" s="298">
        <f t="shared" si="149"/>
        <v>0</v>
      </c>
      <c r="BP68" s="299">
        <f t="shared" si="150"/>
        <v>0</v>
      </c>
      <c r="BQ68" s="262">
        <f t="shared" si="151"/>
        <v>0</v>
      </c>
    </row>
    <row r="69" spans="1:70">
      <c r="A69" s="676"/>
      <c r="B69" s="678"/>
      <c r="C69" s="290" t="s">
        <v>28</v>
      </c>
      <c r="D69" s="291">
        <f t="shared" si="95"/>
        <v>0</v>
      </c>
      <c r="E69" s="292">
        <f t="shared" si="96"/>
        <v>210000</v>
      </c>
      <c r="F69" s="293">
        <f t="shared" si="97"/>
        <v>210000</v>
      </c>
      <c r="G69" s="298">
        <f t="shared" si="98"/>
        <v>0</v>
      </c>
      <c r="H69" s="299">
        <f t="shared" si="99"/>
        <v>10000</v>
      </c>
      <c r="I69" s="262">
        <f t="shared" si="152"/>
        <v>10000</v>
      </c>
      <c r="J69" s="298">
        <f t="shared" si="100"/>
        <v>0</v>
      </c>
      <c r="K69" s="299">
        <f t="shared" si="101"/>
        <v>10000</v>
      </c>
      <c r="L69" s="262">
        <f t="shared" si="153"/>
        <v>10000</v>
      </c>
      <c r="M69" s="298">
        <f t="shared" si="102"/>
        <v>0</v>
      </c>
      <c r="N69" s="299">
        <f t="shared" si="103"/>
        <v>10000</v>
      </c>
      <c r="O69" s="262">
        <f t="shared" si="154"/>
        <v>10000</v>
      </c>
      <c r="P69" s="298">
        <f t="shared" si="104"/>
        <v>0</v>
      </c>
      <c r="Q69" s="299">
        <f t="shared" si="105"/>
        <v>10000</v>
      </c>
      <c r="R69" s="262">
        <f t="shared" si="106"/>
        <v>10000</v>
      </c>
      <c r="S69" s="298">
        <f t="shared" si="107"/>
        <v>0</v>
      </c>
      <c r="T69" s="299">
        <f t="shared" si="108"/>
        <v>10000</v>
      </c>
      <c r="U69" s="262">
        <f t="shared" si="109"/>
        <v>10000</v>
      </c>
      <c r="V69" s="298">
        <f t="shared" si="110"/>
        <v>0</v>
      </c>
      <c r="W69" s="299">
        <f t="shared" si="111"/>
        <v>10000</v>
      </c>
      <c r="X69" s="262">
        <f t="shared" si="112"/>
        <v>10000</v>
      </c>
      <c r="Y69" s="298">
        <f t="shared" si="113"/>
        <v>0</v>
      </c>
      <c r="Z69" s="299">
        <f t="shared" si="114"/>
        <v>10000</v>
      </c>
      <c r="AA69" s="262">
        <f t="shared" si="155"/>
        <v>10000</v>
      </c>
      <c r="AB69" s="298">
        <f t="shared" si="115"/>
        <v>0</v>
      </c>
      <c r="AC69" s="299">
        <f t="shared" si="116"/>
        <v>10000</v>
      </c>
      <c r="AD69" s="262">
        <f t="shared" si="156"/>
        <v>10000</v>
      </c>
      <c r="AE69" s="298">
        <f t="shared" si="117"/>
        <v>0</v>
      </c>
      <c r="AF69" s="299">
        <f t="shared" si="118"/>
        <v>10000</v>
      </c>
      <c r="AG69" s="262">
        <f t="shared" si="119"/>
        <v>10000</v>
      </c>
      <c r="AH69" s="298">
        <f t="shared" si="120"/>
        <v>0</v>
      </c>
      <c r="AI69" s="299">
        <f t="shared" si="121"/>
        <v>10000</v>
      </c>
      <c r="AJ69" s="262">
        <f t="shared" si="122"/>
        <v>10000</v>
      </c>
      <c r="AK69" s="298">
        <f t="shared" si="123"/>
        <v>0</v>
      </c>
      <c r="AL69" s="299">
        <f t="shared" si="124"/>
        <v>10000</v>
      </c>
      <c r="AM69" s="262">
        <f t="shared" si="125"/>
        <v>10000</v>
      </c>
      <c r="AN69" s="298">
        <f t="shared" si="126"/>
        <v>0</v>
      </c>
      <c r="AO69" s="299">
        <f t="shared" si="127"/>
        <v>10000</v>
      </c>
      <c r="AP69" s="262">
        <f t="shared" si="157"/>
        <v>10000</v>
      </c>
      <c r="AQ69" s="298">
        <f t="shared" si="128"/>
        <v>0</v>
      </c>
      <c r="AR69" s="299">
        <f t="shared" si="129"/>
        <v>10000</v>
      </c>
      <c r="AS69" s="262">
        <f t="shared" si="158"/>
        <v>10000</v>
      </c>
      <c r="AT69" s="298">
        <f t="shared" si="130"/>
        <v>0</v>
      </c>
      <c r="AU69" s="299">
        <f t="shared" si="131"/>
        <v>10000</v>
      </c>
      <c r="AV69" s="262">
        <f t="shared" si="132"/>
        <v>10000</v>
      </c>
      <c r="AW69" s="298">
        <f t="shared" si="133"/>
        <v>0</v>
      </c>
      <c r="AX69" s="299">
        <f t="shared" si="134"/>
        <v>10000</v>
      </c>
      <c r="AY69" s="262">
        <f t="shared" si="135"/>
        <v>10000</v>
      </c>
      <c r="AZ69" s="298">
        <f t="shared" si="136"/>
        <v>0</v>
      </c>
      <c r="BA69" s="299">
        <f t="shared" si="137"/>
        <v>10000</v>
      </c>
      <c r="BB69" s="262">
        <f t="shared" si="138"/>
        <v>10000</v>
      </c>
      <c r="BC69" s="298">
        <f t="shared" si="139"/>
        <v>0</v>
      </c>
      <c r="BD69" s="299">
        <f t="shared" si="140"/>
        <v>10000</v>
      </c>
      <c r="BE69" s="262">
        <f t="shared" si="159"/>
        <v>10000</v>
      </c>
      <c r="BF69" s="298">
        <f t="shared" si="141"/>
        <v>0</v>
      </c>
      <c r="BG69" s="299">
        <f t="shared" si="142"/>
        <v>10000</v>
      </c>
      <c r="BH69" s="262">
        <f t="shared" si="160"/>
        <v>10000</v>
      </c>
      <c r="BI69" s="298">
        <f t="shared" si="143"/>
        <v>0</v>
      </c>
      <c r="BJ69" s="299">
        <f t="shared" si="144"/>
        <v>10000</v>
      </c>
      <c r="BK69" s="262">
        <f t="shared" si="145"/>
        <v>10000</v>
      </c>
      <c r="BL69" s="298">
        <f t="shared" si="146"/>
        <v>0</v>
      </c>
      <c r="BM69" s="299">
        <f t="shared" si="147"/>
        <v>10000</v>
      </c>
      <c r="BN69" s="262">
        <f t="shared" si="148"/>
        <v>10000</v>
      </c>
      <c r="BO69" s="298">
        <f t="shared" si="149"/>
        <v>0</v>
      </c>
      <c r="BP69" s="299">
        <f t="shared" si="150"/>
        <v>0</v>
      </c>
      <c r="BQ69" s="262">
        <f t="shared" si="151"/>
        <v>0</v>
      </c>
    </row>
    <row r="70" spans="1:70">
      <c r="A70" s="676"/>
      <c r="B70" s="678"/>
      <c r="C70" s="290" t="s">
        <v>29</v>
      </c>
      <c r="D70" s="291">
        <f t="shared" si="95"/>
        <v>0</v>
      </c>
      <c r="E70" s="292">
        <f t="shared" si="96"/>
        <v>210000</v>
      </c>
      <c r="F70" s="293">
        <f t="shared" si="97"/>
        <v>210000</v>
      </c>
      <c r="G70" s="298">
        <f t="shared" si="98"/>
        <v>0</v>
      </c>
      <c r="H70" s="299">
        <f t="shared" si="99"/>
        <v>10000</v>
      </c>
      <c r="I70" s="262">
        <f t="shared" si="152"/>
        <v>10000</v>
      </c>
      <c r="J70" s="298">
        <f t="shared" si="100"/>
        <v>0</v>
      </c>
      <c r="K70" s="299">
        <f t="shared" si="101"/>
        <v>10000</v>
      </c>
      <c r="L70" s="262">
        <f t="shared" si="153"/>
        <v>10000</v>
      </c>
      <c r="M70" s="298">
        <f t="shared" si="102"/>
        <v>0</v>
      </c>
      <c r="N70" s="299">
        <f t="shared" si="103"/>
        <v>10000</v>
      </c>
      <c r="O70" s="262">
        <f t="shared" si="154"/>
        <v>10000</v>
      </c>
      <c r="P70" s="298">
        <f t="shared" si="104"/>
        <v>0</v>
      </c>
      <c r="Q70" s="299">
        <f t="shared" si="105"/>
        <v>10000</v>
      </c>
      <c r="R70" s="262">
        <f t="shared" si="106"/>
        <v>10000</v>
      </c>
      <c r="S70" s="298">
        <f t="shared" si="107"/>
        <v>0</v>
      </c>
      <c r="T70" s="299">
        <f t="shared" si="108"/>
        <v>10000</v>
      </c>
      <c r="U70" s="262">
        <f t="shared" si="109"/>
        <v>10000</v>
      </c>
      <c r="V70" s="298">
        <f t="shared" si="110"/>
        <v>0</v>
      </c>
      <c r="W70" s="299">
        <f t="shared" si="111"/>
        <v>10000</v>
      </c>
      <c r="X70" s="262">
        <f t="shared" si="112"/>
        <v>10000</v>
      </c>
      <c r="Y70" s="298">
        <f t="shared" si="113"/>
        <v>0</v>
      </c>
      <c r="Z70" s="299">
        <f t="shared" si="114"/>
        <v>10000</v>
      </c>
      <c r="AA70" s="262">
        <f t="shared" si="155"/>
        <v>10000</v>
      </c>
      <c r="AB70" s="298">
        <f t="shared" si="115"/>
        <v>0</v>
      </c>
      <c r="AC70" s="299">
        <f t="shared" si="116"/>
        <v>10000</v>
      </c>
      <c r="AD70" s="262">
        <f t="shared" si="156"/>
        <v>10000</v>
      </c>
      <c r="AE70" s="298">
        <f t="shared" si="117"/>
        <v>0</v>
      </c>
      <c r="AF70" s="299">
        <f t="shared" si="118"/>
        <v>10000</v>
      </c>
      <c r="AG70" s="262">
        <f t="shared" si="119"/>
        <v>10000</v>
      </c>
      <c r="AH70" s="298">
        <f t="shared" si="120"/>
        <v>0</v>
      </c>
      <c r="AI70" s="299">
        <f t="shared" si="121"/>
        <v>10000</v>
      </c>
      <c r="AJ70" s="262">
        <f t="shared" si="122"/>
        <v>10000</v>
      </c>
      <c r="AK70" s="298">
        <f t="shared" si="123"/>
        <v>0</v>
      </c>
      <c r="AL70" s="299">
        <f t="shared" si="124"/>
        <v>10000</v>
      </c>
      <c r="AM70" s="262">
        <f t="shared" si="125"/>
        <v>10000</v>
      </c>
      <c r="AN70" s="298">
        <f t="shared" si="126"/>
        <v>0</v>
      </c>
      <c r="AO70" s="299">
        <f t="shared" si="127"/>
        <v>10000</v>
      </c>
      <c r="AP70" s="262">
        <f t="shared" si="157"/>
        <v>10000</v>
      </c>
      <c r="AQ70" s="298">
        <f t="shared" si="128"/>
        <v>0</v>
      </c>
      <c r="AR70" s="299">
        <f t="shared" si="129"/>
        <v>10000</v>
      </c>
      <c r="AS70" s="262">
        <f t="shared" si="158"/>
        <v>10000</v>
      </c>
      <c r="AT70" s="298">
        <f t="shared" si="130"/>
        <v>0</v>
      </c>
      <c r="AU70" s="299">
        <f t="shared" si="131"/>
        <v>10000</v>
      </c>
      <c r="AV70" s="262">
        <f t="shared" si="132"/>
        <v>10000</v>
      </c>
      <c r="AW70" s="298">
        <f t="shared" si="133"/>
        <v>0</v>
      </c>
      <c r="AX70" s="299">
        <f t="shared" si="134"/>
        <v>10000</v>
      </c>
      <c r="AY70" s="262">
        <f t="shared" si="135"/>
        <v>10000</v>
      </c>
      <c r="AZ70" s="298">
        <f t="shared" si="136"/>
        <v>0</v>
      </c>
      <c r="BA70" s="299">
        <f t="shared" si="137"/>
        <v>10000</v>
      </c>
      <c r="BB70" s="262">
        <f t="shared" si="138"/>
        <v>10000</v>
      </c>
      <c r="BC70" s="298">
        <f t="shared" si="139"/>
        <v>0</v>
      </c>
      <c r="BD70" s="299">
        <f t="shared" si="140"/>
        <v>10000</v>
      </c>
      <c r="BE70" s="262">
        <f t="shared" si="159"/>
        <v>10000</v>
      </c>
      <c r="BF70" s="298">
        <f t="shared" si="141"/>
        <v>0</v>
      </c>
      <c r="BG70" s="299">
        <f t="shared" si="142"/>
        <v>10000</v>
      </c>
      <c r="BH70" s="262">
        <f t="shared" si="160"/>
        <v>10000</v>
      </c>
      <c r="BI70" s="298">
        <f t="shared" si="143"/>
        <v>0</v>
      </c>
      <c r="BJ70" s="299">
        <f t="shared" si="144"/>
        <v>10000</v>
      </c>
      <c r="BK70" s="262">
        <f t="shared" si="145"/>
        <v>10000</v>
      </c>
      <c r="BL70" s="298">
        <f t="shared" si="146"/>
        <v>0</v>
      </c>
      <c r="BM70" s="299">
        <f t="shared" si="147"/>
        <v>10000</v>
      </c>
      <c r="BN70" s="262">
        <f t="shared" si="148"/>
        <v>10000</v>
      </c>
      <c r="BO70" s="298">
        <f t="shared" si="149"/>
        <v>0</v>
      </c>
      <c r="BP70" s="299">
        <f t="shared" si="150"/>
        <v>0</v>
      </c>
      <c r="BQ70" s="262">
        <f t="shared" si="151"/>
        <v>0</v>
      </c>
    </row>
    <row r="71" spans="1:70">
      <c r="A71" s="676"/>
      <c r="B71" s="678"/>
      <c r="C71" s="290" t="s">
        <v>30</v>
      </c>
      <c r="D71" s="291">
        <f t="shared" si="95"/>
        <v>0</v>
      </c>
      <c r="E71" s="292">
        <f t="shared" si="96"/>
        <v>210000</v>
      </c>
      <c r="F71" s="293">
        <f t="shared" si="97"/>
        <v>210000</v>
      </c>
      <c r="G71" s="298">
        <f t="shared" si="98"/>
        <v>0</v>
      </c>
      <c r="H71" s="299">
        <f t="shared" si="99"/>
        <v>10000</v>
      </c>
      <c r="I71" s="262">
        <f t="shared" si="152"/>
        <v>10000</v>
      </c>
      <c r="J71" s="298">
        <f t="shared" si="100"/>
        <v>0</v>
      </c>
      <c r="K71" s="299">
        <f t="shared" si="101"/>
        <v>10000</v>
      </c>
      <c r="L71" s="262">
        <f t="shared" si="153"/>
        <v>10000</v>
      </c>
      <c r="M71" s="298">
        <f t="shared" si="102"/>
        <v>0</v>
      </c>
      <c r="N71" s="299">
        <f t="shared" si="103"/>
        <v>10000</v>
      </c>
      <c r="O71" s="262">
        <f t="shared" si="154"/>
        <v>10000</v>
      </c>
      <c r="P71" s="298">
        <f t="shared" si="104"/>
        <v>0</v>
      </c>
      <c r="Q71" s="299">
        <f t="shared" si="105"/>
        <v>10000</v>
      </c>
      <c r="R71" s="262">
        <f t="shared" si="106"/>
        <v>10000</v>
      </c>
      <c r="S71" s="298">
        <f t="shared" si="107"/>
        <v>0</v>
      </c>
      <c r="T71" s="299">
        <f t="shared" si="108"/>
        <v>10000</v>
      </c>
      <c r="U71" s="262">
        <f t="shared" si="109"/>
        <v>10000</v>
      </c>
      <c r="V71" s="298">
        <f t="shared" si="110"/>
        <v>0</v>
      </c>
      <c r="W71" s="299">
        <f t="shared" si="111"/>
        <v>10000</v>
      </c>
      <c r="X71" s="262">
        <f t="shared" si="112"/>
        <v>10000</v>
      </c>
      <c r="Y71" s="298">
        <f t="shared" si="113"/>
        <v>0</v>
      </c>
      <c r="Z71" s="299">
        <f t="shared" si="114"/>
        <v>10000</v>
      </c>
      <c r="AA71" s="262">
        <f t="shared" si="155"/>
        <v>10000</v>
      </c>
      <c r="AB71" s="298">
        <f t="shared" si="115"/>
        <v>0</v>
      </c>
      <c r="AC71" s="299">
        <f t="shared" si="116"/>
        <v>10000</v>
      </c>
      <c r="AD71" s="262">
        <f t="shared" si="156"/>
        <v>10000</v>
      </c>
      <c r="AE71" s="298">
        <f t="shared" si="117"/>
        <v>0</v>
      </c>
      <c r="AF71" s="299">
        <f t="shared" si="118"/>
        <v>10000</v>
      </c>
      <c r="AG71" s="262">
        <f t="shared" si="119"/>
        <v>10000</v>
      </c>
      <c r="AH71" s="298">
        <f t="shared" si="120"/>
        <v>0</v>
      </c>
      <c r="AI71" s="299">
        <f t="shared" si="121"/>
        <v>10000</v>
      </c>
      <c r="AJ71" s="262">
        <f t="shared" si="122"/>
        <v>10000</v>
      </c>
      <c r="AK71" s="298">
        <f t="shared" si="123"/>
        <v>0</v>
      </c>
      <c r="AL71" s="299">
        <f t="shared" si="124"/>
        <v>10000</v>
      </c>
      <c r="AM71" s="262">
        <f t="shared" si="125"/>
        <v>10000</v>
      </c>
      <c r="AN71" s="298">
        <f t="shared" si="126"/>
        <v>0</v>
      </c>
      <c r="AO71" s="299">
        <f t="shared" si="127"/>
        <v>10000</v>
      </c>
      <c r="AP71" s="262">
        <f t="shared" si="157"/>
        <v>10000</v>
      </c>
      <c r="AQ71" s="298">
        <f t="shared" si="128"/>
        <v>0</v>
      </c>
      <c r="AR71" s="299">
        <f t="shared" si="129"/>
        <v>10000</v>
      </c>
      <c r="AS71" s="262">
        <f t="shared" si="158"/>
        <v>10000</v>
      </c>
      <c r="AT71" s="298">
        <f t="shared" si="130"/>
        <v>0</v>
      </c>
      <c r="AU71" s="299">
        <f t="shared" si="131"/>
        <v>10000</v>
      </c>
      <c r="AV71" s="262">
        <f t="shared" si="132"/>
        <v>10000</v>
      </c>
      <c r="AW71" s="298">
        <f t="shared" si="133"/>
        <v>0</v>
      </c>
      <c r="AX71" s="299">
        <f t="shared" si="134"/>
        <v>10000</v>
      </c>
      <c r="AY71" s="262">
        <f t="shared" si="135"/>
        <v>10000</v>
      </c>
      <c r="AZ71" s="298">
        <f t="shared" si="136"/>
        <v>0</v>
      </c>
      <c r="BA71" s="299">
        <f t="shared" si="137"/>
        <v>10000</v>
      </c>
      <c r="BB71" s="262">
        <f t="shared" si="138"/>
        <v>10000</v>
      </c>
      <c r="BC71" s="298">
        <f t="shared" si="139"/>
        <v>0</v>
      </c>
      <c r="BD71" s="299">
        <f t="shared" si="140"/>
        <v>10000</v>
      </c>
      <c r="BE71" s="262">
        <f t="shared" si="159"/>
        <v>10000</v>
      </c>
      <c r="BF71" s="298">
        <f t="shared" si="141"/>
        <v>0</v>
      </c>
      <c r="BG71" s="299">
        <f t="shared" si="142"/>
        <v>10000</v>
      </c>
      <c r="BH71" s="262">
        <f t="shared" si="160"/>
        <v>10000</v>
      </c>
      <c r="BI71" s="298">
        <f t="shared" si="143"/>
        <v>0</v>
      </c>
      <c r="BJ71" s="299">
        <f t="shared" si="144"/>
        <v>10000</v>
      </c>
      <c r="BK71" s="262">
        <f t="shared" si="145"/>
        <v>10000</v>
      </c>
      <c r="BL71" s="298">
        <f t="shared" si="146"/>
        <v>0</v>
      </c>
      <c r="BM71" s="299">
        <f t="shared" si="147"/>
        <v>10000</v>
      </c>
      <c r="BN71" s="262">
        <f t="shared" si="148"/>
        <v>10000</v>
      </c>
      <c r="BO71" s="298">
        <f t="shared" si="149"/>
        <v>0</v>
      </c>
      <c r="BP71" s="299">
        <f t="shared" si="150"/>
        <v>0</v>
      </c>
      <c r="BQ71" s="262">
        <f t="shared" si="151"/>
        <v>0</v>
      </c>
    </row>
    <row r="72" spans="1:70">
      <c r="A72" s="676"/>
      <c r="B72" s="678"/>
      <c r="C72" s="290" t="s">
        <v>31</v>
      </c>
      <c r="D72" s="291">
        <f t="shared" si="95"/>
        <v>0</v>
      </c>
      <c r="E72" s="292">
        <f t="shared" si="96"/>
        <v>210000</v>
      </c>
      <c r="F72" s="293">
        <f t="shared" si="97"/>
        <v>210000</v>
      </c>
      <c r="G72" s="298">
        <f t="shared" si="98"/>
        <v>0</v>
      </c>
      <c r="H72" s="299">
        <f t="shared" si="99"/>
        <v>10000</v>
      </c>
      <c r="I72" s="262">
        <f t="shared" si="152"/>
        <v>10000</v>
      </c>
      <c r="J72" s="298">
        <f t="shared" si="100"/>
        <v>0</v>
      </c>
      <c r="K72" s="299">
        <f t="shared" si="101"/>
        <v>10000</v>
      </c>
      <c r="L72" s="262">
        <f t="shared" si="153"/>
        <v>10000</v>
      </c>
      <c r="M72" s="298">
        <f t="shared" si="102"/>
        <v>0</v>
      </c>
      <c r="N72" s="299">
        <f t="shared" si="103"/>
        <v>10000</v>
      </c>
      <c r="O72" s="262">
        <f t="shared" si="154"/>
        <v>10000</v>
      </c>
      <c r="P72" s="298">
        <f t="shared" si="104"/>
        <v>0</v>
      </c>
      <c r="Q72" s="299">
        <f t="shared" si="105"/>
        <v>10000</v>
      </c>
      <c r="R72" s="262">
        <f t="shared" si="106"/>
        <v>10000</v>
      </c>
      <c r="S72" s="298">
        <f t="shared" si="107"/>
        <v>0</v>
      </c>
      <c r="T72" s="299">
        <f t="shared" si="108"/>
        <v>10000</v>
      </c>
      <c r="U72" s="262">
        <f t="shared" si="109"/>
        <v>10000</v>
      </c>
      <c r="V72" s="298">
        <f t="shared" si="110"/>
        <v>0</v>
      </c>
      <c r="W72" s="299">
        <f t="shared" si="111"/>
        <v>10000</v>
      </c>
      <c r="X72" s="262">
        <f t="shared" si="112"/>
        <v>10000</v>
      </c>
      <c r="Y72" s="298">
        <f t="shared" si="113"/>
        <v>0</v>
      </c>
      <c r="Z72" s="299">
        <f t="shared" si="114"/>
        <v>10000</v>
      </c>
      <c r="AA72" s="262">
        <f t="shared" si="155"/>
        <v>10000</v>
      </c>
      <c r="AB72" s="298">
        <f t="shared" si="115"/>
        <v>0</v>
      </c>
      <c r="AC72" s="299">
        <f t="shared" si="116"/>
        <v>10000</v>
      </c>
      <c r="AD72" s="262">
        <f t="shared" si="156"/>
        <v>10000</v>
      </c>
      <c r="AE72" s="298">
        <f t="shared" si="117"/>
        <v>0</v>
      </c>
      <c r="AF72" s="299">
        <f t="shared" si="118"/>
        <v>10000</v>
      </c>
      <c r="AG72" s="262">
        <f t="shared" si="119"/>
        <v>10000</v>
      </c>
      <c r="AH72" s="298">
        <f t="shared" si="120"/>
        <v>0</v>
      </c>
      <c r="AI72" s="299">
        <f t="shared" si="121"/>
        <v>10000</v>
      </c>
      <c r="AJ72" s="262">
        <f t="shared" si="122"/>
        <v>10000</v>
      </c>
      <c r="AK72" s="298">
        <f t="shared" si="123"/>
        <v>0</v>
      </c>
      <c r="AL72" s="299">
        <f t="shared" si="124"/>
        <v>10000</v>
      </c>
      <c r="AM72" s="262">
        <f t="shared" si="125"/>
        <v>10000</v>
      </c>
      <c r="AN72" s="298">
        <f t="shared" si="126"/>
        <v>0</v>
      </c>
      <c r="AO72" s="299">
        <f t="shared" si="127"/>
        <v>10000</v>
      </c>
      <c r="AP72" s="262">
        <f t="shared" si="157"/>
        <v>10000</v>
      </c>
      <c r="AQ72" s="298">
        <f t="shared" si="128"/>
        <v>0</v>
      </c>
      <c r="AR72" s="299">
        <f t="shared" si="129"/>
        <v>10000</v>
      </c>
      <c r="AS72" s="262">
        <f t="shared" si="158"/>
        <v>10000</v>
      </c>
      <c r="AT72" s="298">
        <f t="shared" si="130"/>
        <v>0</v>
      </c>
      <c r="AU72" s="299">
        <f t="shared" si="131"/>
        <v>10000</v>
      </c>
      <c r="AV72" s="262">
        <f t="shared" si="132"/>
        <v>10000</v>
      </c>
      <c r="AW72" s="298">
        <f t="shared" si="133"/>
        <v>0</v>
      </c>
      <c r="AX72" s="299">
        <f t="shared" si="134"/>
        <v>10000</v>
      </c>
      <c r="AY72" s="262">
        <f t="shared" si="135"/>
        <v>10000</v>
      </c>
      <c r="AZ72" s="298">
        <f t="shared" si="136"/>
        <v>0</v>
      </c>
      <c r="BA72" s="299">
        <f t="shared" si="137"/>
        <v>10000</v>
      </c>
      <c r="BB72" s="262">
        <f t="shared" si="138"/>
        <v>10000</v>
      </c>
      <c r="BC72" s="298">
        <f t="shared" si="139"/>
        <v>0</v>
      </c>
      <c r="BD72" s="299">
        <f t="shared" si="140"/>
        <v>10000</v>
      </c>
      <c r="BE72" s="262">
        <f t="shared" si="159"/>
        <v>10000</v>
      </c>
      <c r="BF72" s="298">
        <f t="shared" si="141"/>
        <v>0</v>
      </c>
      <c r="BG72" s="299">
        <f t="shared" si="142"/>
        <v>10000</v>
      </c>
      <c r="BH72" s="262">
        <f t="shared" si="160"/>
        <v>10000</v>
      </c>
      <c r="BI72" s="298">
        <f t="shared" si="143"/>
        <v>0</v>
      </c>
      <c r="BJ72" s="299">
        <f t="shared" si="144"/>
        <v>10000</v>
      </c>
      <c r="BK72" s="262">
        <f t="shared" si="145"/>
        <v>10000</v>
      </c>
      <c r="BL72" s="298">
        <f t="shared" si="146"/>
        <v>0</v>
      </c>
      <c r="BM72" s="299">
        <f t="shared" si="147"/>
        <v>10000</v>
      </c>
      <c r="BN72" s="262">
        <f t="shared" si="148"/>
        <v>10000</v>
      </c>
      <c r="BO72" s="298">
        <f t="shared" si="149"/>
        <v>0</v>
      </c>
      <c r="BP72" s="299">
        <f t="shared" si="150"/>
        <v>0</v>
      </c>
      <c r="BQ72" s="262">
        <f t="shared" si="151"/>
        <v>0</v>
      </c>
    </row>
    <row r="73" spans="1:70">
      <c r="A73" s="676"/>
      <c r="B73" s="678"/>
      <c r="C73" s="290" t="s">
        <v>32</v>
      </c>
      <c r="D73" s="291">
        <f t="shared" si="95"/>
        <v>0</v>
      </c>
      <c r="E73" s="292">
        <f t="shared" si="96"/>
        <v>210000</v>
      </c>
      <c r="F73" s="293">
        <f t="shared" si="97"/>
        <v>210000</v>
      </c>
      <c r="G73" s="298">
        <f t="shared" si="98"/>
        <v>0</v>
      </c>
      <c r="H73" s="299">
        <f t="shared" si="99"/>
        <v>10000</v>
      </c>
      <c r="I73" s="262">
        <f t="shared" si="152"/>
        <v>10000</v>
      </c>
      <c r="J73" s="298">
        <f t="shared" si="100"/>
        <v>0</v>
      </c>
      <c r="K73" s="299">
        <f t="shared" si="101"/>
        <v>10000</v>
      </c>
      <c r="L73" s="262">
        <f t="shared" si="153"/>
        <v>10000</v>
      </c>
      <c r="M73" s="298">
        <f t="shared" si="102"/>
        <v>0</v>
      </c>
      <c r="N73" s="299">
        <f t="shared" si="103"/>
        <v>10000</v>
      </c>
      <c r="O73" s="262">
        <f t="shared" si="154"/>
        <v>10000</v>
      </c>
      <c r="P73" s="298">
        <f t="shared" si="104"/>
        <v>0</v>
      </c>
      <c r="Q73" s="299">
        <f t="shared" si="105"/>
        <v>10000</v>
      </c>
      <c r="R73" s="262">
        <f t="shared" si="106"/>
        <v>10000</v>
      </c>
      <c r="S73" s="298">
        <f t="shared" si="107"/>
        <v>0</v>
      </c>
      <c r="T73" s="299">
        <f t="shared" si="108"/>
        <v>10000</v>
      </c>
      <c r="U73" s="262">
        <f t="shared" si="109"/>
        <v>10000</v>
      </c>
      <c r="V73" s="298">
        <f t="shared" si="110"/>
        <v>0</v>
      </c>
      <c r="W73" s="299">
        <f t="shared" si="111"/>
        <v>10000</v>
      </c>
      <c r="X73" s="262">
        <f t="shared" si="112"/>
        <v>10000</v>
      </c>
      <c r="Y73" s="298">
        <f t="shared" si="113"/>
        <v>0</v>
      </c>
      <c r="Z73" s="299">
        <f t="shared" si="114"/>
        <v>10000</v>
      </c>
      <c r="AA73" s="262">
        <f t="shared" si="155"/>
        <v>10000</v>
      </c>
      <c r="AB73" s="298">
        <f t="shared" si="115"/>
        <v>0</v>
      </c>
      <c r="AC73" s="299">
        <f t="shared" si="116"/>
        <v>10000</v>
      </c>
      <c r="AD73" s="262">
        <f t="shared" si="156"/>
        <v>10000</v>
      </c>
      <c r="AE73" s="298">
        <f t="shared" si="117"/>
        <v>0</v>
      </c>
      <c r="AF73" s="299">
        <f t="shared" si="118"/>
        <v>10000</v>
      </c>
      <c r="AG73" s="262">
        <f t="shared" si="119"/>
        <v>10000</v>
      </c>
      <c r="AH73" s="298">
        <f t="shared" si="120"/>
        <v>0</v>
      </c>
      <c r="AI73" s="299">
        <f t="shared" si="121"/>
        <v>10000</v>
      </c>
      <c r="AJ73" s="262">
        <f t="shared" si="122"/>
        <v>10000</v>
      </c>
      <c r="AK73" s="298">
        <f t="shared" si="123"/>
        <v>0</v>
      </c>
      <c r="AL73" s="299">
        <f t="shared" si="124"/>
        <v>10000</v>
      </c>
      <c r="AM73" s="262">
        <f t="shared" si="125"/>
        <v>10000</v>
      </c>
      <c r="AN73" s="298">
        <f t="shared" si="126"/>
        <v>0</v>
      </c>
      <c r="AO73" s="299">
        <f t="shared" si="127"/>
        <v>10000</v>
      </c>
      <c r="AP73" s="262">
        <f t="shared" si="157"/>
        <v>10000</v>
      </c>
      <c r="AQ73" s="298">
        <f t="shared" si="128"/>
        <v>0</v>
      </c>
      <c r="AR73" s="299">
        <f t="shared" si="129"/>
        <v>10000</v>
      </c>
      <c r="AS73" s="262">
        <f t="shared" si="158"/>
        <v>10000</v>
      </c>
      <c r="AT73" s="298">
        <f t="shared" si="130"/>
        <v>0</v>
      </c>
      <c r="AU73" s="299">
        <f t="shared" si="131"/>
        <v>10000</v>
      </c>
      <c r="AV73" s="262">
        <f t="shared" si="132"/>
        <v>10000</v>
      </c>
      <c r="AW73" s="298">
        <f t="shared" si="133"/>
        <v>0</v>
      </c>
      <c r="AX73" s="299">
        <f t="shared" si="134"/>
        <v>10000</v>
      </c>
      <c r="AY73" s="262">
        <f t="shared" si="135"/>
        <v>10000</v>
      </c>
      <c r="AZ73" s="298">
        <f t="shared" si="136"/>
        <v>0</v>
      </c>
      <c r="BA73" s="299">
        <f t="shared" si="137"/>
        <v>10000</v>
      </c>
      <c r="BB73" s="262">
        <f t="shared" si="138"/>
        <v>10000</v>
      </c>
      <c r="BC73" s="298">
        <f t="shared" si="139"/>
        <v>0</v>
      </c>
      <c r="BD73" s="299">
        <f t="shared" si="140"/>
        <v>10000</v>
      </c>
      <c r="BE73" s="262">
        <f t="shared" si="159"/>
        <v>10000</v>
      </c>
      <c r="BF73" s="298">
        <f t="shared" si="141"/>
        <v>0</v>
      </c>
      <c r="BG73" s="299">
        <f t="shared" si="142"/>
        <v>10000</v>
      </c>
      <c r="BH73" s="262">
        <f t="shared" si="160"/>
        <v>10000</v>
      </c>
      <c r="BI73" s="298">
        <f t="shared" si="143"/>
        <v>0</v>
      </c>
      <c r="BJ73" s="299">
        <f t="shared" si="144"/>
        <v>10000</v>
      </c>
      <c r="BK73" s="262">
        <f t="shared" si="145"/>
        <v>10000</v>
      </c>
      <c r="BL73" s="298">
        <f t="shared" si="146"/>
        <v>0</v>
      </c>
      <c r="BM73" s="299">
        <f t="shared" si="147"/>
        <v>10000</v>
      </c>
      <c r="BN73" s="262">
        <f t="shared" si="148"/>
        <v>10000</v>
      </c>
      <c r="BO73" s="298">
        <f t="shared" si="149"/>
        <v>0</v>
      </c>
      <c r="BP73" s="299">
        <f t="shared" si="150"/>
        <v>0</v>
      </c>
      <c r="BQ73" s="262">
        <f t="shared" si="151"/>
        <v>0</v>
      </c>
    </row>
    <row r="74" spans="1:70">
      <c r="A74" s="676"/>
      <c r="B74" s="678"/>
      <c r="C74" s="290" t="s">
        <v>33</v>
      </c>
      <c r="D74" s="291">
        <f t="shared" si="95"/>
        <v>0</v>
      </c>
      <c r="E74" s="292">
        <f t="shared" si="96"/>
        <v>210000</v>
      </c>
      <c r="F74" s="293">
        <f t="shared" si="97"/>
        <v>210000</v>
      </c>
      <c r="G74" s="298">
        <f t="shared" si="98"/>
        <v>0</v>
      </c>
      <c r="H74" s="299">
        <f t="shared" si="99"/>
        <v>10000</v>
      </c>
      <c r="I74" s="262">
        <f t="shared" si="152"/>
        <v>10000</v>
      </c>
      <c r="J74" s="298">
        <f t="shared" si="100"/>
        <v>0</v>
      </c>
      <c r="K74" s="299">
        <f t="shared" si="101"/>
        <v>10000</v>
      </c>
      <c r="L74" s="262">
        <f t="shared" si="153"/>
        <v>10000</v>
      </c>
      <c r="M74" s="298">
        <f t="shared" si="102"/>
        <v>0</v>
      </c>
      <c r="N74" s="299">
        <f t="shared" si="103"/>
        <v>10000</v>
      </c>
      <c r="O74" s="262">
        <f t="shared" si="154"/>
        <v>10000</v>
      </c>
      <c r="P74" s="298">
        <f t="shared" si="104"/>
        <v>0</v>
      </c>
      <c r="Q74" s="299">
        <f t="shared" si="105"/>
        <v>10000</v>
      </c>
      <c r="R74" s="262">
        <f t="shared" si="106"/>
        <v>10000</v>
      </c>
      <c r="S74" s="298">
        <f t="shared" si="107"/>
        <v>0</v>
      </c>
      <c r="T74" s="299">
        <f t="shared" si="108"/>
        <v>10000</v>
      </c>
      <c r="U74" s="262">
        <f t="shared" si="109"/>
        <v>10000</v>
      </c>
      <c r="V74" s="298">
        <f t="shared" si="110"/>
        <v>0</v>
      </c>
      <c r="W74" s="299">
        <f t="shared" si="111"/>
        <v>10000</v>
      </c>
      <c r="X74" s="262">
        <f t="shared" si="112"/>
        <v>10000</v>
      </c>
      <c r="Y74" s="298">
        <f t="shared" si="113"/>
        <v>0</v>
      </c>
      <c r="Z74" s="299">
        <f t="shared" si="114"/>
        <v>10000</v>
      </c>
      <c r="AA74" s="262">
        <f t="shared" si="155"/>
        <v>10000</v>
      </c>
      <c r="AB74" s="298">
        <f t="shared" si="115"/>
        <v>0</v>
      </c>
      <c r="AC74" s="299">
        <f t="shared" si="116"/>
        <v>10000</v>
      </c>
      <c r="AD74" s="262">
        <f t="shared" si="156"/>
        <v>10000</v>
      </c>
      <c r="AE74" s="298">
        <f t="shared" si="117"/>
        <v>0</v>
      </c>
      <c r="AF74" s="299">
        <f t="shared" si="118"/>
        <v>10000</v>
      </c>
      <c r="AG74" s="262">
        <f t="shared" si="119"/>
        <v>10000</v>
      </c>
      <c r="AH74" s="298">
        <f t="shared" si="120"/>
        <v>0</v>
      </c>
      <c r="AI74" s="299">
        <f t="shared" si="121"/>
        <v>10000</v>
      </c>
      <c r="AJ74" s="262">
        <f t="shared" si="122"/>
        <v>10000</v>
      </c>
      <c r="AK74" s="298">
        <f t="shared" si="123"/>
        <v>0</v>
      </c>
      <c r="AL74" s="299">
        <f t="shared" si="124"/>
        <v>10000</v>
      </c>
      <c r="AM74" s="262">
        <f t="shared" si="125"/>
        <v>10000</v>
      </c>
      <c r="AN74" s="298">
        <f t="shared" si="126"/>
        <v>0</v>
      </c>
      <c r="AO74" s="299">
        <f t="shared" si="127"/>
        <v>10000</v>
      </c>
      <c r="AP74" s="262">
        <f t="shared" si="157"/>
        <v>10000</v>
      </c>
      <c r="AQ74" s="298">
        <f t="shared" si="128"/>
        <v>0</v>
      </c>
      <c r="AR74" s="299">
        <f t="shared" si="129"/>
        <v>10000</v>
      </c>
      <c r="AS74" s="262">
        <f t="shared" si="158"/>
        <v>10000</v>
      </c>
      <c r="AT74" s="298">
        <f t="shared" si="130"/>
        <v>0</v>
      </c>
      <c r="AU74" s="299">
        <f t="shared" si="131"/>
        <v>10000</v>
      </c>
      <c r="AV74" s="262">
        <f t="shared" si="132"/>
        <v>10000</v>
      </c>
      <c r="AW74" s="298">
        <f t="shared" si="133"/>
        <v>0</v>
      </c>
      <c r="AX74" s="299">
        <f t="shared" si="134"/>
        <v>10000</v>
      </c>
      <c r="AY74" s="262">
        <f t="shared" si="135"/>
        <v>10000</v>
      </c>
      <c r="AZ74" s="298">
        <f t="shared" si="136"/>
        <v>0</v>
      </c>
      <c r="BA74" s="299">
        <f t="shared" si="137"/>
        <v>10000</v>
      </c>
      <c r="BB74" s="262">
        <f t="shared" si="138"/>
        <v>10000</v>
      </c>
      <c r="BC74" s="298">
        <f t="shared" si="139"/>
        <v>0</v>
      </c>
      <c r="BD74" s="299">
        <f t="shared" si="140"/>
        <v>10000</v>
      </c>
      <c r="BE74" s="262">
        <f t="shared" si="159"/>
        <v>10000</v>
      </c>
      <c r="BF74" s="298">
        <f t="shared" si="141"/>
        <v>0</v>
      </c>
      <c r="BG74" s="299">
        <f t="shared" si="142"/>
        <v>10000</v>
      </c>
      <c r="BH74" s="262">
        <f t="shared" si="160"/>
        <v>10000</v>
      </c>
      <c r="BI74" s="298">
        <f t="shared" si="143"/>
        <v>0</v>
      </c>
      <c r="BJ74" s="299">
        <f t="shared" si="144"/>
        <v>10000</v>
      </c>
      <c r="BK74" s="262">
        <f t="shared" si="145"/>
        <v>10000</v>
      </c>
      <c r="BL74" s="298">
        <f t="shared" si="146"/>
        <v>0</v>
      </c>
      <c r="BM74" s="299">
        <f t="shared" si="147"/>
        <v>10000</v>
      </c>
      <c r="BN74" s="262">
        <f t="shared" si="148"/>
        <v>10000</v>
      </c>
      <c r="BO74" s="298">
        <f t="shared" si="149"/>
        <v>0</v>
      </c>
      <c r="BP74" s="299">
        <f t="shared" si="150"/>
        <v>0</v>
      </c>
      <c r="BQ74" s="262">
        <f t="shared" si="151"/>
        <v>0</v>
      </c>
    </row>
    <row r="75" spans="1:70" ht="15.75" thickBot="1">
      <c r="A75" s="677"/>
      <c r="B75" s="679"/>
      <c r="C75" s="300" t="s">
        <v>34</v>
      </c>
      <c r="D75" s="301">
        <f t="shared" si="95"/>
        <v>0</v>
      </c>
      <c r="E75" s="302">
        <f t="shared" si="96"/>
        <v>210000</v>
      </c>
      <c r="F75" s="303">
        <f t="shared" si="97"/>
        <v>210000</v>
      </c>
      <c r="G75" s="304">
        <f t="shared" si="98"/>
        <v>0</v>
      </c>
      <c r="H75" s="305">
        <f t="shared" si="99"/>
        <v>10000</v>
      </c>
      <c r="I75" s="267">
        <f t="shared" si="152"/>
        <v>10000</v>
      </c>
      <c r="J75" s="304">
        <f t="shared" si="100"/>
        <v>0</v>
      </c>
      <c r="K75" s="305">
        <f t="shared" si="101"/>
        <v>10000</v>
      </c>
      <c r="L75" s="267">
        <f t="shared" si="153"/>
        <v>10000</v>
      </c>
      <c r="M75" s="304">
        <f t="shared" si="102"/>
        <v>0</v>
      </c>
      <c r="N75" s="305">
        <f t="shared" si="103"/>
        <v>10000</v>
      </c>
      <c r="O75" s="267">
        <f t="shared" si="154"/>
        <v>10000</v>
      </c>
      <c r="P75" s="304">
        <f t="shared" si="104"/>
        <v>0</v>
      </c>
      <c r="Q75" s="305">
        <f t="shared" si="105"/>
        <v>10000</v>
      </c>
      <c r="R75" s="267">
        <f t="shared" si="106"/>
        <v>10000</v>
      </c>
      <c r="S75" s="304">
        <f t="shared" si="107"/>
        <v>0</v>
      </c>
      <c r="T75" s="305">
        <f t="shared" si="108"/>
        <v>10000</v>
      </c>
      <c r="U75" s="267">
        <f t="shared" si="109"/>
        <v>10000</v>
      </c>
      <c r="V75" s="304">
        <f t="shared" si="110"/>
        <v>0</v>
      </c>
      <c r="W75" s="305">
        <f t="shared" si="111"/>
        <v>10000</v>
      </c>
      <c r="X75" s="267">
        <f t="shared" si="112"/>
        <v>10000</v>
      </c>
      <c r="Y75" s="304">
        <f t="shared" si="113"/>
        <v>0</v>
      </c>
      <c r="Z75" s="305">
        <f t="shared" si="114"/>
        <v>10000</v>
      </c>
      <c r="AA75" s="267">
        <f t="shared" si="155"/>
        <v>10000</v>
      </c>
      <c r="AB75" s="304">
        <f t="shared" si="115"/>
        <v>0</v>
      </c>
      <c r="AC75" s="305">
        <f t="shared" si="116"/>
        <v>10000</v>
      </c>
      <c r="AD75" s="267">
        <f t="shared" si="156"/>
        <v>10000</v>
      </c>
      <c r="AE75" s="304">
        <f t="shared" si="117"/>
        <v>0</v>
      </c>
      <c r="AF75" s="305">
        <f t="shared" si="118"/>
        <v>10000</v>
      </c>
      <c r="AG75" s="267">
        <f t="shared" si="119"/>
        <v>10000</v>
      </c>
      <c r="AH75" s="304">
        <f t="shared" si="120"/>
        <v>0</v>
      </c>
      <c r="AI75" s="305">
        <f t="shared" si="121"/>
        <v>10000</v>
      </c>
      <c r="AJ75" s="267">
        <f t="shared" si="122"/>
        <v>10000</v>
      </c>
      <c r="AK75" s="304">
        <f t="shared" si="123"/>
        <v>0</v>
      </c>
      <c r="AL75" s="305">
        <f t="shared" si="124"/>
        <v>10000</v>
      </c>
      <c r="AM75" s="267">
        <f t="shared" si="125"/>
        <v>10000</v>
      </c>
      <c r="AN75" s="304">
        <f t="shared" si="126"/>
        <v>0</v>
      </c>
      <c r="AO75" s="305">
        <f t="shared" si="127"/>
        <v>10000</v>
      </c>
      <c r="AP75" s="267">
        <f t="shared" si="157"/>
        <v>10000</v>
      </c>
      <c r="AQ75" s="304">
        <f t="shared" si="128"/>
        <v>0</v>
      </c>
      <c r="AR75" s="305">
        <f t="shared" si="129"/>
        <v>10000</v>
      </c>
      <c r="AS75" s="267">
        <f t="shared" si="158"/>
        <v>10000</v>
      </c>
      <c r="AT75" s="304">
        <f t="shared" si="130"/>
        <v>0</v>
      </c>
      <c r="AU75" s="305">
        <f t="shared" si="131"/>
        <v>10000</v>
      </c>
      <c r="AV75" s="267">
        <f t="shared" si="132"/>
        <v>10000</v>
      </c>
      <c r="AW75" s="304">
        <f t="shared" si="133"/>
        <v>0</v>
      </c>
      <c r="AX75" s="305">
        <f t="shared" si="134"/>
        <v>10000</v>
      </c>
      <c r="AY75" s="267">
        <f t="shared" si="135"/>
        <v>10000</v>
      </c>
      <c r="AZ75" s="304">
        <f t="shared" si="136"/>
        <v>0</v>
      </c>
      <c r="BA75" s="305">
        <f t="shared" si="137"/>
        <v>10000</v>
      </c>
      <c r="BB75" s="267">
        <f t="shared" si="138"/>
        <v>10000</v>
      </c>
      <c r="BC75" s="304">
        <f t="shared" si="139"/>
        <v>0</v>
      </c>
      <c r="BD75" s="305">
        <f t="shared" si="140"/>
        <v>10000</v>
      </c>
      <c r="BE75" s="267">
        <f t="shared" si="159"/>
        <v>10000</v>
      </c>
      <c r="BF75" s="304">
        <f t="shared" si="141"/>
        <v>0</v>
      </c>
      <c r="BG75" s="305">
        <f t="shared" si="142"/>
        <v>10000</v>
      </c>
      <c r="BH75" s="267">
        <f t="shared" si="160"/>
        <v>10000</v>
      </c>
      <c r="BI75" s="304">
        <f t="shared" si="143"/>
        <v>0</v>
      </c>
      <c r="BJ75" s="305">
        <f t="shared" si="144"/>
        <v>10000</v>
      </c>
      <c r="BK75" s="267">
        <f t="shared" si="145"/>
        <v>10000</v>
      </c>
      <c r="BL75" s="304">
        <f t="shared" si="146"/>
        <v>0</v>
      </c>
      <c r="BM75" s="305">
        <f t="shared" si="147"/>
        <v>10000</v>
      </c>
      <c r="BN75" s="267">
        <f t="shared" si="148"/>
        <v>10000</v>
      </c>
      <c r="BO75" s="304">
        <f t="shared" si="149"/>
        <v>0</v>
      </c>
      <c r="BP75" s="305">
        <f t="shared" si="150"/>
        <v>0</v>
      </c>
      <c r="BQ75" s="267">
        <f t="shared" si="151"/>
        <v>0</v>
      </c>
    </row>
    <row r="76" spans="1:70">
      <c r="A76" s="676" t="s">
        <v>148</v>
      </c>
      <c r="B76" s="678" t="s">
        <v>13</v>
      </c>
      <c r="C76" s="290" t="s">
        <v>25</v>
      </c>
      <c r="D76" s="291">
        <f t="shared" ref="D76:D95" si="161">SUM(G76,J76,M76,P76,S76,V76,Y76,AB76,AE76,AH76,AK76,AN76,AQ76,AT76,AW76,AZ76,AZ76,BC76,BF76,BI76,BL76,BO76)</f>
        <v>0</v>
      </c>
      <c r="E76" s="292">
        <f t="shared" ref="E76:E135" si="162">SUM(H76,K76,N76,Q76,T76,W76,Z76,AC76,AF76,AI76,AL76,AO76,AR76,AU76,AX76,BA76,BA76,BD76,BG76,BJ76,BM76,BP76)</f>
        <v>0</v>
      </c>
      <c r="F76" s="293">
        <f t="shared" ref="F76:F105" si="163">SUM(I76,L76,O76,R76,U76,X76,AA76,AD76,AG76,AJ76,AM76,AP76,AS76,AV76,AY76,BB76,BB76,BE76,BH76,BK76,BN76,BQ76)</f>
        <v>0</v>
      </c>
      <c r="G76" s="306">
        <f>G5*G35*Faktory!$D$8</f>
        <v>0</v>
      </c>
      <c r="H76" s="307">
        <f>((H66*G35)-(H66*((G35-H35)*(1+$BR$35))))*Faktory!$D$8</f>
        <v>0</v>
      </c>
      <c r="I76" s="257">
        <f>H76-G76</f>
        <v>0</v>
      </c>
      <c r="J76" s="306">
        <f>J5*J35*Faktory!$D$8</f>
        <v>0</v>
      </c>
      <c r="K76" s="307">
        <f>((K66*J35)-(K66*((J35-K35)*(1+$BR$35))))*Faktory!$D$8</f>
        <v>0</v>
      </c>
      <c r="L76" s="257">
        <f>K76-J76</f>
        <v>0</v>
      </c>
      <c r="M76" s="306">
        <f>M5*M35*Faktory!$D$8</f>
        <v>0</v>
      </c>
      <c r="N76" s="307">
        <f>((N66*M35)-(N66*((M35-N35)*(1+$BR$35))))*Faktory!$D$8</f>
        <v>0</v>
      </c>
      <c r="O76" s="257">
        <f>N76-M76</f>
        <v>0</v>
      </c>
      <c r="P76" s="306">
        <f>P5*P35*Faktory!$D$8</f>
        <v>0</v>
      </c>
      <c r="Q76" s="307">
        <f>((Q66*P35)-(Q66*((P35-Q35)*(1+$BR$35))))*Faktory!$D$8</f>
        <v>0</v>
      </c>
      <c r="R76" s="257">
        <f>Q76-P76</f>
        <v>0</v>
      </c>
      <c r="S76" s="306">
        <f>S5*S35*Faktory!$D$8</f>
        <v>0</v>
      </c>
      <c r="T76" s="307">
        <f>((T66*S35)-(T66*((S35-T35)*(1+$BR$35))))*Faktory!$D$8</f>
        <v>0</v>
      </c>
      <c r="U76" s="257">
        <f>T76-S76</f>
        <v>0</v>
      </c>
      <c r="V76" s="306">
        <f>V5*V35*Faktory!$D$8</f>
        <v>0</v>
      </c>
      <c r="W76" s="307">
        <f>((W66*V35)-(W66*((V35-W35)*(1+$BR$35))))*Faktory!$D$8</f>
        <v>0</v>
      </c>
      <c r="X76" s="257">
        <f>W76-V76</f>
        <v>0</v>
      </c>
      <c r="Y76" s="306">
        <f>Y5*Y35*Faktory!$D$8</f>
        <v>0</v>
      </c>
      <c r="Z76" s="307">
        <f>((Z66*Y35)-(Z66*((Y35-Z35)*(1+$BR$35))))*Faktory!$D$8</f>
        <v>0</v>
      </c>
      <c r="AA76" s="257">
        <f>Z76-Y76</f>
        <v>0</v>
      </c>
      <c r="AB76" s="306">
        <f>AB5*AB35*Faktory!$D$8</f>
        <v>0</v>
      </c>
      <c r="AC76" s="307">
        <f>((AC66*AB35)-(AC66*((AB35-AC35)*(1+$BR$35))))*Faktory!$D$8</f>
        <v>0</v>
      </c>
      <c r="AD76" s="257">
        <f>AC76-AB76</f>
        <v>0</v>
      </c>
      <c r="AE76" s="306">
        <f>AE5*AE35*Faktory!$D$8</f>
        <v>0</v>
      </c>
      <c r="AF76" s="307">
        <f>((AF66*AE35)-(AF66*((AE35-AF35)*(1+$BR$35))))*Faktory!$D$8</f>
        <v>0</v>
      </c>
      <c r="AG76" s="257">
        <f>AF76-AE76</f>
        <v>0</v>
      </c>
      <c r="AH76" s="306">
        <f>AH5*AH35*Faktory!$D$8</f>
        <v>0</v>
      </c>
      <c r="AI76" s="307">
        <f>((AI66*AH35)-(AI66*((AH35-AI35)*(1+$BR$35))))*Faktory!$D$8</f>
        <v>0</v>
      </c>
      <c r="AJ76" s="257">
        <f>AI76-AH76</f>
        <v>0</v>
      </c>
      <c r="AK76" s="306">
        <f>AK5*AK35*Faktory!$D$8</f>
        <v>0</v>
      </c>
      <c r="AL76" s="307">
        <f>((AL66*AK35)-(AL66*((AK35-AL35)*(1+$BR$35))))*Faktory!$D$8</f>
        <v>0</v>
      </c>
      <c r="AM76" s="257">
        <f>AL76-AK76</f>
        <v>0</v>
      </c>
      <c r="AN76" s="306">
        <f>AN5*AN35*Faktory!$D$8</f>
        <v>0</v>
      </c>
      <c r="AO76" s="307">
        <f>((AO66*AN35)-(AO66*((AN35-AO35)*(1+$BR$35))))*Faktory!$D$8</f>
        <v>0</v>
      </c>
      <c r="AP76" s="257">
        <f>AO76-AN76</f>
        <v>0</v>
      </c>
      <c r="AQ76" s="306">
        <f>AQ5*AQ35*Faktory!$D$8</f>
        <v>0</v>
      </c>
      <c r="AR76" s="307">
        <f>((AR66*AQ35)-(AR66*((AQ35-AR35)*(1+$BR$35))))*Faktory!$D$8</f>
        <v>0</v>
      </c>
      <c r="AS76" s="257">
        <f>AR76-AQ76</f>
        <v>0</v>
      </c>
      <c r="AT76" s="306">
        <f>AT5*AT35*Faktory!$D$8</f>
        <v>0</v>
      </c>
      <c r="AU76" s="307">
        <f>((AU66*AT35)-(AU66*((AT35-AU35)*(1+$BR$35))))*Faktory!$D$8</f>
        <v>0</v>
      </c>
      <c r="AV76" s="257">
        <f>AU76-AT76</f>
        <v>0</v>
      </c>
      <c r="AW76" s="306">
        <f>AW5*AW35*Faktory!$D$8</f>
        <v>0</v>
      </c>
      <c r="AX76" s="307">
        <f>((AX66*AW35)-(AX66*((AW35-AX35)*(1+$BR$35))))*Faktory!$D$8</f>
        <v>0</v>
      </c>
      <c r="AY76" s="257">
        <f>AX76-AW76</f>
        <v>0</v>
      </c>
      <c r="AZ76" s="306">
        <f>AZ5*AZ35*Faktory!$D$8</f>
        <v>0</v>
      </c>
      <c r="BA76" s="307">
        <f>((BA66*AZ35)-(BA66*((AZ35-BA35)*(1+$BR$35))))*Faktory!$D$8</f>
        <v>0</v>
      </c>
      <c r="BB76" s="257">
        <f>BA76-AZ76</f>
        <v>0</v>
      </c>
      <c r="BC76" s="306">
        <f>BC5*BC35*Faktory!$D$8</f>
        <v>0</v>
      </c>
      <c r="BD76" s="307">
        <f>((BD66*BC35)-(BD66*((BC35-BD35)*(1+$BR$35))))*Faktory!$D$8</f>
        <v>0</v>
      </c>
      <c r="BE76" s="257">
        <f>BD76-BC76</f>
        <v>0</v>
      </c>
      <c r="BF76" s="306">
        <f>BF5*BF35*Faktory!$D$8</f>
        <v>0</v>
      </c>
      <c r="BG76" s="307">
        <f>((BG66*BF35)-(BG66*((BF35-BG35)*(1+$BR$35))))*Faktory!$D$8</f>
        <v>0</v>
      </c>
      <c r="BH76" s="257">
        <f>BG76-BF76</f>
        <v>0</v>
      </c>
      <c r="BI76" s="306">
        <f>BI5*BI35*Faktory!$D$8</f>
        <v>0</v>
      </c>
      <c r="BJ76" s="307">
        <f>((BJ66*BI35)-(BJ66*((BI35-BJ35)*(1+$BR$35))))*Faktory!$D$8</f>
        <v>0</v>
      </c>
      <c r="BK76" s="257">
        <f>BJ76-BI76</f>
        <v>0</v>
      </c>
      <c r="BL76" s="306">
        <f>BL5*BL35*Faktory!$D$8</f>
        <v>0</v>
      </c>
      <c r="BM76" s="307">
        <f>((BM66*BL35)-(BM66*((BL35-BM35)*(1+$BR$35))))*Faktory!$D$8</f>
        <v>0</v>
      </c>
      <c r="BN76" s="257">
        <f>BM76-BL76</f>
        <v>0</v>
      </c>
      <c r="BO76" s="306">
        <f>BO5*BO35*Faktory!$D$8</f>
        <v>0</v>
      </c>
      <c r="BP76" s="307">
        <f>((BP66*BO35)-(BP66*((BO35-BP35)*(1+$BR$35))))*Faktory!$D$8</f>
        <v>0</v>
      </c>
      <c r="BQ76" s="257">
        <f>BP76-BO76</f>
        <v>0</v>
      </c>
    </row>
    <row r="77" spans="1:70">
      <c r="A77" s="676"/>
      <c r="B77" s="678"/>
      <c r="C77" s="290" t="s">
        <v>26</v>
      </c>
      <c r="D77" s="291">
        <f t="shared" si="161"/>
        <v>0</v>
      </c>
      <c r="E77" s="292">
        <f t="shared" si="162"/>
        <v>0</v>
      </c>
      <c r="F77" s="293">
        <f t="shared" si="163"/>
        <v>0</v>
      </c>
      <c r="G77" s="298">
        <f>G6*G36*Faktory!$D$8</f>
        <v>0</v>
      </c>
      <c r="H77" s="299">
        <f>((H67*G36)-(H67*((G36-H36)*(1+$BR$35))))*Faktory!$D$8</f>
        <v>0</v>
      </c>
      <c r="I77" s="262">
        <f t="shared" ref="I77:I95" si="164">H77-G77</f>
        <v>0</v>
      </c>
      <c r="J77" s="298">
        <f>J6*J36*Faktory!$D$8</f>
        <v>0</v>
      </c>
      <c r="K77" s="299">
        <f>((K67*J36)-(K67*((J36-K36)*(1+$BR$35))))*Faktory!$D$8</f>
        <v>0</v>
      </c>
      <c r="L77" s="262">
        <f t="shared" ref="L77:L95" si="165">K77-J77</f>
        <v>0</v>
      </c>
      <c r="M77" s="298">
        <f>M6*M36*Faktory!$D$8</f>
        <v>0</v>
      </c>
      <c r="N77" s="299">
        <f>((N67*M36)-(N67*((M36-N36)*(1+$BR$35))))*Faktory!$D$8</f>
        <v>0</v>
      </c>
      <c r="O77" s="262">
        <f t="shared" ref="O77:O95" si="166">N77-M77</f>
        <v>0</v>
      </c>
      <c r="P77" s="298">
        <f>P6*P36*Faktory!$D$8</f>
        <v>0</v>
      </c>
      <c r="Q77" s="299">
        <f>((Q67*P36)-(Q67*((P36-Q36)*(1+$BR$35))))*Faktory!$D$8</f>
        <v>0</v>
      </c>
      <c r="R77" s="262">
        <f t="shared" ref="R77:R95" si="167">Q77-P77</f>
        <v>0</v>
      </c>
      <c r="S77" s="298">
        <f>S6*S36*Faktory!$D$8</f>
        <v>0</v>
      </c>
      <c r="T77" s="299">
        <f>((T67*S36)-(T67*((S36-T36)*(1+$BR$35))))*Faktory!$D$8</f>
        <v>0</v>
      </c>
      <c r="U77" s="262">
        <f t="shared" ref="U77:U95" si="168">T77-S77</f>
        <v>0</v>
      </c>
      <c r="V77" s="298">
        <f>V6*V36*Faktory!$D$8</f>
        <v>0</v>
      </c>
      <c r="W77" s="299">
        <f>((W67*V36)-(W67*((V36-W36)*(1+$BR$35))))*Faktory!$D$8</f>
        <v>0</v>
      </c>
      <c r="X77" s="262">
        <f t="shared" ref="X77:X95" si="169">W77-V77</f>
        <v>0</v>
      </c>
      <c r="Y77" s="298">
        <f>Y6*Y36*Faktory!$D$8</f>
        <v>0</v>
      </c>
      <c r="Z77" s="299">
        <f>((Z67*Y36)-(Z67*((Y36-Z36)*(1+$BR$35))))*Faktory!$D$8</f>
        <v>0</v>
      </c>
      <c r="AA77" s="262">
        <f t="shared" ref="AA77:AA95" si="170">Z77-Y77</f>
        <v>0</v>
      </c>
      <c r="AB77" s="298">
        <f>AB6*AB36*Faktory!$D$8</f>
        <v>0</v>
      </c>
      <c r="AC77" s="299">
        <f>((AC67*AB36)-(AC67*((AB36-AC36)*(1+$BR$35))))*Faktory!$D$8</f>
        <v>0</v>
      </c>
      <c r="AD77" s="262">
        <f t="shared" ref="AD77:AD95" si="171">AC77-AB77</f>
        <v>0</v>
      </c>
      <c r="AE77" s="298">
        <f>AE6*AE36*Faktory!$D$8</f>
        <v>0</v>
      </c>
      <c r="AF77" s="299">
        <f>((AF67*AE36)-(AF67*((AE36-AF36)*(1+$BR$35))))*Faktory!$D$8</f>
        <v>0</v>
      </c>
      <c r="AG77" s="262">
        <f t="shared" ref="AG77:AG95" si="172">AF77-AE77</f>
        <v>0</v>
      </c>
      <c r="AH77" s="298">
        <f>AH6*AH36*Faktory!$D$8</f>
        <v>0</v>
      </c>
      <c r="AI77" s="299">
        <f>((AI67*AH36)-(AI67*((AH36-AI36)*(1+$BR$35))))*Faktory!$D$8</f>
        <v>0</v>
      </c>
      <c r="AJ77" s="262">
        <f t="shared" ref="AJ77:AJ95" si="173">AI77-AH77</f>
        <v>0</v>
      </c>
      <c r="AK77" s="298">
        <f>AK6*AK36*Faktory!$D$8</f>
        <v>0</v>
      </c>
      <c r="AL77" s="299">
        <f>((AL67*AK36)-(AL67*((AK36-AL36)*(1+$BR$35))))*Faktory!$D$8</f>
        <v>0</v>
      </c>
      <c r="AM77" s="262">
        <f t="shared" ref="AM77:AM95" si="174">AL77-AK77</f>
        <v>0</v>
      </c>
      <c r="AN77" s="298">
        <f>AN6*AN36*Faktory!$D$8</f>
        <v>0</v>
      </c>
      <c r="AO77" s="299">
        <f>((AO67*AN36)-(AO67*((AN36-AO36)*(1+$BR$35))))*Faktory!$D$8</f>
        <v>0</v>
      </c>
      <c r="AP77" s="262">
        <f t="shared" ref="AP77:AP95" si="175">AO77-AN77</f>
        <v>0</v>
      </c>
      <c r="AQ77" s="298">
        <f>AQ6*AQ36*Faktory!$D$8</f>
        <v>0</v>
      </c>
      <c r="AR77" s="299">
        <f>((AR67*AQ36)-(AR67*((AQ36-AR36)*(1+$BR$35))))*Faktory!$D$8</f>
        <v>0</v>
      </c>
      <c r="AS77" s="262">
        <f t="shared" ref="AS77:AS95" si="176">AR77-AQ77</f>
        <v>0</v>
      </c>
      <c r="AT77" s="298">
        <f>AT6*AT36*Faktory!$D$8</f>
        <v>0</v>
      </c>
      <c r="AU77" s="299">
        <f>((AU67*AT36)-(AU67*((AT36-AU36)*(1+$BR$35))))*Faktory!$D$8</f>
        <v>0</v>
      </c>
      <c r="AV77" s="262">
        <f t="shared" ref="AV77:AV95" si="177">AU77-AT77</f>
        <v>0</v>
      </c>
      <c r="AW77" s="298">
        <f>AW6*AW36*Faktory!$D$8</f>
        <v>0</v>
      </c>
      <c r="AX77" s="299">
        <f>((AX67*AW36)-(AX67*((AW36-AX36)*(1+$BR$35))))*Faktory!$D$8</f>
        <v>0</v>
      </c>
      <c r="AY77" s="262">
        <f t="shared" ref="AY77:AY95" si="178">AX77-AW77</f>
        <v>0</v>
      </c>
      <c r="AZ77" s="298">
        <f>AZ6*AZ36*Faktory!$D$8</f>
        <v>0</v>
      </c>
      <c r="BA77" s="299">
        <f>((BA67*AZ36)-(BA67*((AZ36-BA36)*(1+$BR$35))))*Faktory!$D$8</f>
        <v>0</v>
      </c>
      <c r="BB77" s="262">
        <f t="shared" ref="BB77:BB95" si="179">BA77-AZ77</f>
        <v>0</v>
      </c>
      <c r="BC77" s="298">
        <f>BC6*BC36*Faktory!$D$8</f>
        <v>0</v>
      </c>
      <c r="BD77" s="299">
        <f>((BD67*BC36)-(BD67*((BC36-BD36)*(1+$BR$35))))*Faktory!$D$8</f>
        <v>0</v>
      </c>
      <c r="BE77" s="262">
        <f t="shared" ref="BE77:BE95" si="180">BD77-BC77</f>
        <v>0</v>
      </c>
      <c r="BF77" s="298">
        <f>BF6*BF36*Faktory!$D$8</f>
        <v>0</v>
      </c>
      <c r="BG77" s="299">
        <f>((BG67*BF36)-(BG67*((BF36-BG36)*(1+$BR$35))))*Faktory!$D$8</f>
        <v>0</v>
      </c>
      <c r="BH77" s="262">
        <f t="shared" ref="BH77:BH95" si="181">BG77-BF77</f>
        <v>0</v>
      </c>
      <c r="BI77" s="298">
        <f>BI6*BI36*Faktory!$D$8</f>
        <v>0</v>
      </c>
      <c r="BJ77" s="299">
        <f>((BJ67*BI36)-(BJ67*((BI36-BJ36)*(1+$BR$35))))*Faktory!$D$8</f>
        <v>0</v>
      </c>
      <c r="BK77" s="262">
        <f t="shared" ref="BK77:BK95" si="182">BJ77-BI77</f>
        <v>0</v>
      </c>
      <c r="BL77" s="298">
        <f>BL6*BL36*Faktory!$D$8</f>
        <v>0</v>
      </c>
      <c r="BM77" s="299">
        <f>((BM67*BL36)-(BM67*((BL36-BM36)*(1+$BR$35))))*Faktory!$D$8</f>
        <v>0</v>
      </c>
      <c r="BN77" s="262">
        <f t="shared" ref="BN77:BN95" si="183">BM77-BL77</f>
        <v>0</v>
      </c>
      <c r="BO77" s="298">
        <f>BO6*BO36*Faktory!$D$8</f>
        <v>0</v>
      </c>
      <c r="BP77" s="299">
        <f>((BP67*BO36)-(BP67*((BO36-BP36)*(1+$BR$35))))*Faktory!$D$8</f>
        <v>0</v>
      </c>
      <c r="BQ77" s="262">
        <f t="shared" ref="BQ77:BQ95" si="184">BP77-BO77</f>
        <v>0</v>
      </c>
    </row>
    <row r="78" spans="1:70">
      <c r="A78" s="676"/>
      <c r="B78" s="678"/>
      <c r="C78" s="290" t="s">
        <v>27</v>
      </c>
      <c r="D78" s="291">
        <f t="shared" si="161"/>
        <v>0</v>
      </c>
      <c r="E78" s="292">
        <f t="shared" si="162"/>
        <v>364978.07633587776</v>
      </c>
      <c r="F78" s="293">
        <f t="shared" si="163"/>
        <v>364978.07633587776</v>
      </c>
      <c r="G78" s="298">
        <f>G7*G37*Faktory!$D$8</f>
        <v>0</v>
      </c>
      <c r="H78" s="299">
        <f>((H68*G37)-(H68*((G37-H37)*(1+$BR$35))))*Faktory!$D$8</f>
        <v>17379.908396946565</v>
      </c>
      <c r="I78" s="262">
        <f t="shared" si="164"/>
        <v>17379.908396946565</v>
      </c>
      <c r="J78" s="298">
        <f>J7*J37*Faktory!$D$8</f>
        <v>0</v>
      </c>
      <c r="K78" s="299">
        <f>((K68*J37)-(K68*((J37-K37)*(1+$BR$35))))*Faktory!$D$8</f>
        <v>17379.908396946565</v>
      </c>
      <c r="L78" s="262">
        <f t="shared" si="165"/>
        <v>17379.908396946565</v>
      </c>
      <c r="M78" s="298">
        <f>M7*M37*Faktory!$D$8</f>
        <v>0</v>
      </c>
      <c r="N78" s="299">
        <f>((N68*M37)-(N68*((M37-N37)*(1+$BR$35))))*Faktory!$D$8</f>
        <v>17379.908396946565</v>
      </c>
      <c r="O78" s="262">
        <f t="shared" si="166"/>
        <v>17379.908396946565</v>
      </c>
      <c r="P78" s="298">
        <f>P7*P37*Faktory!$D$8</f>
        <v>0</v>
      </c>
      <c r="Q78" s="299">
        <f>((Q68*P37)-(Q68*((P37-Q37)*(1+$BR$35))))*Faktory!$D$8</f>
        <v>17379.908396946565</v>
      </c>
      <c r="R78" s="262">
        <f t="shared" si="167"/>
        <v>17379.908396946565</v>
      </c>
      <c r="S78" s="298">
        <f>S7*S37*Faktory!$D$8</f>
        <v>0</v>
      </c>
      <c r="T78" s="299">
        <f>((T68*S37)-(T68*((S37-T37)*(1+$BR$35))))*Faktory!$D$8</f>
        <v>17379.908396946565</v>
      </c>
      <c r="U78" s="262">
        <f t="shared" si="168"/>
        <v>17379.908396946565</v>
      </c>
      <c r="V78" s="298">
        <f>V7*V37*Faktory!$D$8</f>
        <v>0</v>
      </c>
      <c r="W78" s="299">
        <f>((W68*V37)-(W68*((V37-W37)*(1+$BR$35))))*Faktory!$D$8</f>
        <v>17379.908396946565</v>
      </c>
      <c r="X78" s="262">
        <f t="shared" si="169"/>
        <v>17379.908396946565</v>
      </c>
      <c r="Y78" s="298">
        <f>Y7*Y37*Faktory!$D$8</f>
        <v>0</v>
      </c>
      <c r="Z78" s="299">
        <f>((Z68*Y37)-(Z68*((Y37-Z37)*(1+$BR$35))))*Faktory!$D$8</f>
        <v>17379.908396946565</v>
      </c>
      <c r="AA78" s="262">
        <f t="shared" si="170"/>
        <v>17379.908396946565</v>
      </c>
      <c r="AB78" s="298">
        <f>AB7*AB37*Faktory!$D$8</f>
        <v>0</v>
      </c>
      <c r="AC78" s="299">
        <f>((AC68*AB37)-(AC68*((AB37-AC37)*(1+$BR$35))))*Faktory!$D$8</f>
        <v>17379.908396946565</v>
      </c>
      <c r="AD78" s="262">
        <f t="shared" si="171"/>
        <v>17379.908396946565</v>
      </c>
      <c r="AE78" s="298">
        <f>AE7*AE37*Faktory!$D$8</f>
        <v>0</v>
      </c>
      <c r="AF78" s="299">
        <f>((AF68*AE37)-(AF68*((AE37-AF37)*(1+$BR$35))))*Faktory!$D$8</f>
        <v>17379.908396946565</v>
      </c>
      <c r="AG78" s="262">
        <f t="shared" si="172"/>
        <v>17379.908396946565</v>
      </c>
      <c r="AH78" s="298">
        <f>AH7*AH37*Faktory!$D$8</f>
        <v>0</v>
      </c>
      <c r="AI78" s="299">
        <f>((AI68*AH37)-(AI68*((AH37-AI37)*(1+$BR$35))))*Faktory!$D$8</f>
        <v>17379.908396946565</v>
      </c>
      <c r="AJ78" s="262">
        <f t="shared" si="173"/>
        <v>17379.908396946565</v>
      </c>
      <c r="AK78" s="298">
        <f>AK7*AK37*Faktory!$D$8</f>
        <v>0</v>
      </c>
      <c r="AL78" s="299">
        <f>((AL68*AK37)-(AL68*((AK37-AL37)*(1+$BR$35))))*Faktory!$D$8</f>
        <v>17379.908396946565</v>
      </c>
      <c r="AM78" s="262">
        <f t="shared" si="174"/>
        <v>17379.908396946565</v>
      </c>
      <c r="AN78" s="298">
        <f>AN7*AN37*Faktory!$D$8</f>
        <v>0</v>
      </c>
      <c r="AO78" s="299">
        <f>((AO68*AN37)-(AO68*((AN37-AO37)*(1+$BR$35))))*Faktory!$D$8</f>
        <v>17379.908396946565</v>
      </c>
      <c r="AP78" s="262">
        <f t="shared" si="175"/>
        <v>17379.908396946565</v>
      </c>
      <c r="AQ78" s="298">
        <f>AQ7*AQ37*Faktory!$D$8</f>
        <v>0</v>
      </c>
      <c r="AR78" s="299">
        <f>((AR68*AQ37)-(AR68*((AQ37-AR37)*(1+$BR$35))))*Faktory!$D$8</f>
        <v>17379.908396946565</v>
      </c>
      <c r="AS78" s="262">
        <f t="shared" si="176"/>
        <v>17379.908396946565</v>
      </c>
      <c r="AT78" s="298">
        <f>AT7*AT37*Faktory!$D$8</f>
        <v>0</v>
      </c>
      <c r="AU78" s="299">
        <f>((AU68*AT37)-(AU68*((AT37-AU37)*(1+$BR$35))))*Faktory!$D$8</f>
        <v>17379.908396946565</v>
      </c>
      <c r="AV78" s="262">
        <f t="shared" si="177"/>
        <v>17379.908396946565</v>
      </c>
      <c r="AW78" s="298">
        <f>AW7*AW37*Faktory!$D$8</f>
        <v>0</v>
      </c>
      <c r="AX78" s="299">
        <f>((AX68*AW37)-(AX68*((AW37-AX37)*(1+$BR$35))))*Faktory!$D$8</f>
        <v>17379.908396946565</v>
      </c>
      <c r="AY78" s="262">
        <f t="shared" si="178"/>
        <v>17379.908396946565</v>
      </c>
      <c r="AZ78" s="298">
        <f>AZ7*AZ37*Faktory!$D$8</f>
        <v>0</v>
      </c>
      <c r="BA78" s="299">
        <f>((BA68*AZ37)-(BA68*((AZ37-BA37)*(1+$BR$35))))*Faktory!$D$8</f>
        <v>17379.908396946565</v>
      </c>
      <c r="BB78" s="262">
        <f t="shared" si="179"/>
        <v>17379.908396946565</v>
      </c>
      <c r="BC78" s="298">
        <f>BC7*BC37*Faktory!$D$8</f>
        <v>0</v>
      </c>
      <c r="BD78" s="299">
        <f>((BD68*BC37)-(BD68*((BC37-BD37)*(1+$BR$35))))*Faktory!$D$8</f>
        <v>17379.908396946565</v>
      </c>
      <c r="BE78" s="262">
        <f t="shared" si="180"/>
        <v>17379.908396946565</v>
      </c>
      <c r="BF78" s="298">
        <f>BF7*BF37*Faktory!$D$8</f>
        <v>0</v>
      </c>
      <c r="BG78" s="299">
        <f>((BG68*BF37)-(BG68*((BF37-BG37)*(1+$BR$35))))*Faktory!$D$8</f>
        <v>17379.908396946565</v>
      </c>
      <c r="BH78" s="262">
        <f t="shared" si="181"/>
        <v>17379.908396946565</v>
      </c>
      <c r="BI78" s="298">
        <f>BI7*BI37*Faktory!$D$8</f>
        <v>0</v>
      </c>
      <c r="BJ78" s="299">
        <f>((BJ68*BI37)-(BJ68*((BI37-BJ37)*(1+$BR$35))))*Faktory!$D$8</f>
        <v>17379.908396946565</v>
      </c>
      <c r="BK78" s="262">
        <f t="shared" si="182"/>
        <v>17379.908396946565</v>
      </c>
      <c r="BL78" s="298">
        <f>BL7*BL37*Faktory!$D$8</f>
        <v>0</v>
      </c>
      <c r="BM78" s="299">
        <f>((BM68*BL37)-(BM68*((BL37-BM37)*(1+$BR$35))))*Faktory!$D$8</f>
        <v>17379.908396946565</v>
      </c>
      <c r="BN78" s="262">
        <f t="shared" si="183"/>
        <v>17379.908396946565</v>
      </c>
      <c r="BO78" s="298">
        <f>BO7*BO37*Faktory!$D$8</f>
        <v>0</v>
      </c>
      <c r="BP78" s="299">
        <f>((BP68*BO37)-(BP68*((BO37-BP37)*(1+$BR$35))))*Faktory!$D$8</f>
        <v>0</v>
      </c>
      <c r="BQ78" s="262">
        <f t="shared" si="184"/>
        <v>0</v>
      </c>
    </row>
    <row r="79" spans="1:70">
      <c r="A79" s="676"/>
      <c r="B79" s="678"/>
      <c r="C79" s="290" t="s">
        <v>28</v>
      </c>
      <c r="D79" s="291">
        <f t="shared" si="161"/>
        <v>0</v>
      </c>
      <c r="E79" s="292">
        <f t="shared" si="162"/>
        <v>364978.07633587776</v>
      </c>
      <c r="F79" s="293">
        <f t="shared" si="163"/>
        <v>364978.07633587776</v>
      </c>
      <c r="G79" s="298">
        <f>G8*G38*Faktory!$D$8</f>
        <v>0</v>
      </c>
      <c r="H79" s="299">
        <f>((H69*G38)-(H69*((G38-H38)*(1+$BR$35))))*Faktory!$D$8</f>
        <v>17379.908396946565</v>
      </c>
      <c r="I79" s="262">
        <f t="shared" si="164"/>
        <v>17379.908396946565</v>
      </c>
      <c r="J79" s="298">
        <f>J8*J38*Faktory!$D$8</f>
        <v>0</v>
      </c>
      <c r="K79" s="299">
        <f>((K69*J38)-(K69*((J38-K38)*(1+$BR$35))))*Faktory!$D$8</f>
        <v>17379.908396946565</v>
      </c>
      <c r="L79" s="262">
        <f t="shared" si="165"/>
        <v>17379.908396946565</v>
      </c>
      <c r="M79" s="298">
        <f>M8*M38*Faktory!$D$8</f>
        <v>0</v>
      </c>
      <c r="N79" s="299">
        <f>((N69*M38)-(N69*((M38-N38)*(1+$BR$35))))*Faktory!$D$8</f>
        <v>17379.908396946565</v>
      </c>
      <c r="O79" s="262">
        <f t="shared" si="166"/>
        <v>17379.908396946565</v>
      </c>
      <c r="P79" s="298">
        <f>P8*P38*Faktory!$D$8</f>
        <v>0</v>
      </c>
      <c r="Q79" s="299">
        <f>((Q69*P38)-(Q69*((P38-Q38)*(1+$BR$35))))*Faktory!$D$8</f>
        <v>17379.908396946565</v>
      </c>
      <c r="R79" s="262">
        <f t="shared" si="167"/>
        <v>17379.908396946565</v>
      </c>
      <c r="S79" s="298">
        <f>S8*S38*Faktory!$D$8</f>
        <v>0</v>
      </c>
      <c r="T79" s="299">
        <f>((T69*S38)-(T69*((S38-T38)*(1+$BR$35))))*Faktory!$D$8</f>
        <v>17379.908396946565</v>
      </c>
      <c r="U79" s="262">
        <f t="shared" si="168"/>
        <v>17379.908396946565</v>
      </c>
      <c r="V79" s="298">
        <f>V8*V38*Faktory!$D$8</f>
        <v>0</v>
      </c>
      <c r="W79" s="299">
        <f>((W69*V38)-(W69*((V38-W38)*(1+$BR$35))))*Faktory!$D$8</f>
        <v>17379.908396946565</v>
      </c>
      <c r="X79" s="262">
        <f t="shared" si="169"/>
        <v>17379.908396946565</v>
      </c>
      <c r="Y79" s="298">
        <f>Y8*Y38*Faktory!$D$8</f>
        <v>0</v>
      </c>
      <c r="Z79" s="299">
        <f>((Z69*Y38)-(Z69*((Y38-Z38)*(1+$BR$35))))*Faktory!$D$8</f>
        <v>17379.908396946565</v>
      </c>
      <c r="AA79" s="262">
        <f t="shared" si="170"/>
        <v>17379.908396946565</v>
      </c>
      <c r="AB79" s="298">
        <f>AB8*AB38*Faktory!$D$8</f>
        <v>0</v>
      </c>
      <c r="AC79" s="299">
        <f>((AC69*AB38)-(AC69*((AB38-AC38)*(1+$BR$35))))*Faktory!$D$8</f>
        <v>17379.908396946565</v>
      </c>
      <c r="AD79" s="262">
        <f t="shared" si="171"/>
        <v>17379.908396946565</v>
      </c>
      <c r="AE79" s="298">
        <f>AE8*AE38*Faktory!$D$8</f>
        <v>0</v>
      </c>
      <c r="AF79" s="299">
        <f>((AF69*AE38)-(AF69*((AE38-AF38)*(1+$BR$35))))*Faktory!$D$8</f>
        <v>17379.908396946565</v>
      </c>
      <c r="AG79" s="262">
        <f t="shared" si="172"/>
        <v>17379.908396946565</v>
      </c>
      <c r="AH79" s="298">
        <f>AH8*AH38*Faktory!$D$8</f>
        <v>0</v>
      </c>
      <c r="AI79" s="299">
        <f>((AI69*AH38)-(AI69*((AH38-AI38)*(1+$BR$35))))*Faktory!$D$8</f>
        <v>17379.908396946565</v>
      </c>
      <c r="AJ79" s="262">
        <f t="shared" si="173"/>
        <v>17379.908396946565</v>
      </c>
      <c r="AK79" s="298">
        <f>AK8*AK38*Faktory!$D$8</f>
        <v>0</v>
      </c>
      <c r="AL79" s="299">
        <f>((AL69*AK38)-(AL69*((AK38-AL38)*(1+$BR$35))))*Faktory!$D$8</f>
        <v>17379.908396946565</v>
      </c>
      <c r="AM79" s="262">
        <f t="shared" si="174"/>
        <v>17379.908396946565</v>
      </c>
      <c r="AN79" s="298">
        <f>AN8*AN38*Faktory!$D$8</f>
        <v>0</v>
      </c>
      <c r="AO79" s="299">
        <f>((AO69*AN38)-(AO69*((AN38-AO38)*(1+$BR$35))))*Faktory!$D$8</f>
        <v>17379.908396946565</v>
      </c>
      <c r="AP79" s="262">
        <f t="shared" si="175"/>
        <v>17379.908396946565</v>
      </c>
      <c r="AQ79" s="298">
        <f>AQ8*AQ38*Faktory!$D$8</f>
        <v>0</v>
      </c>
      <c r="AR79" s="299">
        <f>((AR69*AQ38)-(AR69*((AQ38-AR38)*(1+$BR$35))))*Faktory!$D$8</f>
        <v>17379.908396946565</v>
      </c>
      <c r="AS79" s="262">
        <f t="shared" si="176"/>
        <v>17379.908396946565</v>
      </c>
      <c r="AT79" s="298">
        <f>AT8*AT38*Faktory!$D$8</f>
        <v>0</v>
      </c>
      <c r="AU79" s="299">
        <f>((AU69*AT38)-(AU69*((AT38-AU38)*(1+$BR$35))))*Faktory!$D$8</f>
        <v>17379.908396946565</v>
      </c>
      <c r="AV79" s="262">
        <f t="shared" si="177"/>
        <v>17379.908396946565</v>
      </c>
      <c r="AW79" s="298">
        <f>AW8*AW38*Faktory!$D$8</f>
        <v>0</v>
      </c>
      <c r="AX79" s="299">
        <f>((AX69*AW38)-(AX69*((AW38-AX38)*(1+$BR$35))))*Faktory!$D$8</f>
        <v>17379.908396946565</v>
      </c>
      <c r="AY79" s="262">
        <f t="shared" si="178"/>
        <v>17379.908396946565</v>
      </c>
      <c r="AZ79" s="298">
        <f>AZ8*AZ38*Faktory!$D$8</f>
        <v>0</v>
      </c>
      <c r="BA79" s="299">
        <f>((BA69*AZ38)-(BA69*((AZ38-BA38)*(1+$BR$35))))*Faktory!$D$8</f>
        <v>17379.908396946565</v>
      </c>
      <c r="BB79" s="262">
        <f t="shared" si="179"/>
        <v>17379.908396946565</v>
      </c>
      <c r="BC79" s="298">
        <f>BC8*BC38*Faktory!$D$8</f>
        <v>0</v>
      </c>
      <c r="BD79" s="299">
        <f>((BD69*BC38)-(BD69*((BC38-BD38)*(1+$BR$35))))*Faktory!$D$8</f>
        <v>17379.908396946565</v>
      </c>
      <c r="BE79" s="262">
        <f t="shared" si="180"/>
        <v>17379.908396946565</v>
      </c>
      <c r="BF79" s="298">
        <f>BF8*BF38*Faktory!$D$8</f>
        <v>0</v>
      </c>
      <c r="BG79" s="299">
        <f>((BG69*BF38)-(BG69*((BF38-BG38)*(1+$BR$35))))*Faktory!$D$8</f>
        <v>17379.908396946565</v>
      </c>
      <c r="BH79" s="262">
        <f t="shared" si="181"/>
        <v>17379.908396946565</v>
      </c>
      <c r="BI79" s="298">
        <f>BI8*BI38*Faktory!$D$8</f>
        <v>0</v>
      </c>
      <c r="BJ79" s="299">
        <f>((BJ69*BI38)-(BJ69*((BI38-BJ38)*(1+$BR$35))))*Faktory!$D$8</f>
        <v>17379.908396946565</v>
      </c>
      <c r="BK79" s="262">
        <f t="shared" si="182"/>
        <v>17379.908396946565</v>
      </c>
      <c r="BL79" s="298">
        <f>BL8*BL38*Faktory!$D$8</f>
        <v>0</v>
      </c>
      <c r="BM79" s="299">
        <f>((BM69*BL38)-(BM69*((BL38-BM38)*(1+$BR$35))))*Faktory!$D$8</f>
        <v>17379.908396946565</v>
      </c>
      <c r="BN79" s="262">
        <f t="shared" si="183"/>
        <v>17379.908396946565</v>
      </c>
      <c r="BO79" s="298">
        <f>BO8*BO38*Faktory!$D$8</f>
        <v>0</v>
      </c>
      <c r="BP79" s="299">
        <f>((BP69*BO38)-(BP69*((BO38-BP38)*(1+$BR$35))))*Faktory!$D$8</f>
        <v>0</v>
      </c>
      <c r="BQ79" s="262">
        <f t="shared" si="184"/>
        <v>0</v>
      </c>
    </row>
    <row r="80" spans="1:70">
      <c r="A80" s="676"/>
      <c r="B80" s="678"/>
      <c r="C80" s="290" t="s">
        <v>29</v>
      </c>
      <c r="D80" s="291">
        <f t="shared" si="161"/>
        <v>0</v>
      </c>
      <c r="E80" s="292">
        <f t="shared" si="162"/>
        <v>364978.07633587776</v>
      </c>
      <c r="F80" s="293">
        <f t="shared" si="163"/>
        <v>364978.07633587776</v>
      </c>
      <c r="G80" s="298">
        <f>G9*G39*Faktory!$D$8</f>
        <v>0</v>
      </c>
      <c r="H80" s="299">
        <f>((H70*G39)-(H70*((G39-H39)*(1+$BR$35))))*Faktory!$D$8</f>
        <v>17379.908396946565</v>
      </c>
      <c r="I80" s="262">
        <f t="shared" si="164"/>
        <v>17379.908396946565</v>
      </c>
      <c r="J80" s="298">
        <f>J9*J39*Faktory!$D$8</f>
        <v>0</v>
      </c>
      <c r="K80" s="299">
        <f>((K70*J39)-(K70*((J39-K39)*(1+$BR$35))))*Faktory!$D$8</f>
        <v>17379.908396946565</v>
      </c>
      <c r="L80" s="262">
        <f t="shared" si="165"/>
        <v>17379.908396946565</v>
      </c>
      <c r="M80" s="298">
        <f>M9*M39*Faktory!$D$8</f>
        <v>0</v>
      </c>
      <c r="N80" s="299">
        <f>((N70*M39)-(N70*((M39-N39)*(1+$BR$35))))*Faktory!$D$8</f>
        <v>17379.908396946565</v>
      </c>
      <c r="O80" s="262">
        <f t="shared" si="166"/>
        <v>17379.908396946565</v>
      </c>
      <c r="P80" s="298">
        <f>P9*P39*Faktory!$D$8</f>
        <v>0</v>
      </c>
      <c r="Q80" s="299">
        <f>((Q70*P39)-(Q70*((P39-Q39)*(1+$BR$35))))*Faktory!$D$8</f>
        <v>17379.908396946565</v>
      </c>
      <c r="R80" s="262">
        <f t="shared" si="167"/>
        <v>17379.908396946565</v>
      </c>
      <c r="S80" s="298">
        <f>S9*S39*Faktory!$D$8</f>
        <v>0</v>
      </c>
      <c r="T80" s="299">
        <f>((T70*S39)-(T70*((S39-T39)*(1+$BR$35))))*Faktory!$D$8</f>
        <v>17379.908396946565</v>
      </c>
      <c r="U80" s="262">
        <f t="shared" si="168"/>
        <v>17379.908396946565</v>
      </c>
      <c r="V80" s="298">
        <f>V9*V39*Faktory!$D$8</f>
        <v>0</v>
      </c>
      <c r="W80" s="299">
        <f>((W70*V39)-(W70*((V39-W39)*(1+$BR$35))))*Faktory!$D$8</f>
        <v>17379.908396946565</v>
      </c>
      <c r="X80" s="262">
        <f t="shared" si="169"/>
        <v>17379.908396946565</v>
      </c>
      <c r="Y80" s="298">
        <f>Y9*Y39*Faktory!$D$8</f>
        <v>0</v>
      </c>
      <c r="Z80" s="299">
        <f>((Z70*Y39)-(Z70*((Y39-Z39)*(1+$BR$35))))*Faktory!$D$8</f>
        <v>17379.908396946565</v>
      </c>
      <c r="AA80" s="262">
        <f t="shared" si="170"/>
        <v>17379.908396946565</v>
      </c>
      <c r="AB80" s="298">
        <f>AB9*AB39*Faktory!$D$8</f>
        <v>0</v>
      </c>
      <c r="AC80" s="299">
        <f>((AC70*AB39)-(AC70*((AB39-AC39)*(1+$BR$35))))*Faktory!$D$8</f>
        <v>17379.908396946565</v>
      </c>
      <c r="AD80" s="262">
        <f t="shared" si="171"/>
        <v>17379.908396946565</v>
      </c>
      <c r="AE80" s="298">
        <f>AE9*AE39*Faktory!$D$8</f>
        <v>0</v>
      </c>
      <c r="AF80" s="299">
        <f>((AF70*AE39)-(AF70*((AE39-AF39)*(1+$BR$35))))*Faktory!$D$8</f>
        <v>17379.908396946565</v>
      </c>
      <c r="AG80" s="262">
        <f t="shared" si="172"/>
        <v>17379.908396946565</v>
      </c>
      <c r="AH80" s="298">
        <f>AH9*AH39*Faktory!$D$8</f>
        <v>0</v>
      </c>
      <c r="AI80" s="299">
        <f>((AI70*AH39)-(AI70*((AH39-AI39)*(1+$BR$35))))*Faktory!$D$8</f>
        <v>17379.908396946565</v>
      </c>
      <c r="AJ80" s="262">
        <f t="shared" si="173"/>
        <v>17379.908396946565</v>
      </c>
      <c r="AK80" s="298">
        <f>AK9*AK39*Faktory!$D$8</f>
        <v>0</v>
      </c>
      <c r="AL80" s="299">
        <f>((AL70*AK39)-(AL70*((AK39-AL39)*(1+$BR$35))))*Faktory!$D$8</f>
        <v>17379.908396946565</v>
      </c>
      <c r="AM80" s="262">
        <f t="shared" si="174"/>
        <v>17379.908396946565</v>
      </c>
      <c r="AN80" s="298">
        <f>AN9*AN39*Faktory!$D$8</f>
        <v>0</v>
      </c>
      <c r="AO80" s="299">
        <f>((AO70*AN39)-(AO70*((AN39-AO39)*(1+$BR$35))))*Faktory!$D$8</f>
        <v>17379.908396946565</v>
      </c>
      <c r="AP80" s="262">
        <f t="shared" si="175"/>
        <v>17379.908396946565</v>
      </c>
      <c r="AQ80" s="298">
        <f>AQ9*AQ39*Faktory!$D$8</f>
        <v>0</v>
      </c>
      <c r="AR80" s="299">
        <f>((AR70*AQ39)-(AR70*((AQ39-AR39)*(1+$BR$35))))*Faktory!$D$8</f>
        <v>17379.908396946565</v>
      </c>
      <c r="AS80" s="262">
        <f t="shared" si="176"/>
        <v>17379.908396946565</v>
      </c>
      <c r="AT80" s="298">
        <f>AT9*AT39*Faktory!$D$8</f>
        <v>0</v>
      </c>
      <c r="AU80" s="299">
        <f>((AU70*AT39)-(AU70*((AT39-AU39)*(1+$BR$35))))*Faktory!$D$8</f>
        <v>17379.908396946565</v>
      </c>
      <c r="AV80" s="262">
        <f t="shared" si="177"/>
        <v>17379.908396946565</v>
      </c>
      <c r="AW80" s="298">
        <f>AW9*AW39*Faktory!$D$8</f>
        <v>0</v>
      </c>
      <c r="AX80" s="299">
        <f>((AX70*AW39)-(AX70*((AW39-AX39)*(1+$BR$35))))*Faktory!$D$8</f>
        <v>17379.908396946565</v>
      </c>
      <c r="AY80" s="262">
        <f t="shared" si="178"/>
        <v>17379.908396946565</v>
      </c>
      <c r="AZ80" s="298">
        <f>AZ9*AZ39*Faktory!$D$8</f>
        <v>0</v>
      </c>
      <c r="BA80" s="299">
        <f>((BA70*AZ39)-(BA70*((AZ39-BA39)*(1+$BR$35))))*Faktory!$D$8</f>
        <v>17379.908396946565</v>
      </c>
      <c r="BB80" s="262">
        <f t="shared" si="179"/>
        <v>17379.908396946565</v>
      </c>
      <c r="BC80" s="298">
        <f>BC9*BC39*Faktory!$D$8</f>
        <v>0</v>
      </c>
      <c r="BD80" s="299">
        <f>((BD70*BC39)-(BD70*((BC39-BD39)*(1+$BR$35))))*Faktory!$D$8</f>
        <v>17379.908396946565</v>
      </c>
      <c r="BE80" s="262">
        <f t="shared" si="180"/>
        <v>17379.908396946565</v>
      </c>
      <c r="BF80" s="298">
        <f>BF9*BF39*Faktory!$D$8</f>
        <v>0</v>
      </c>
      <c r="BG80" s="299">
        <f>((BG70*BF39)-(BG70*((BF39-BG39)*(1+$BR$35))))*Faktory!$D$8</f>
        <v>17379.908396946565</v>
      </c>
      <c r="BH80" s="262">
        <f t="shared" si="181"/>
        <v>17379.908396946565</v>
      </c>
      <c r="BI80" s="298">
        <f>BI9*BI39*Faktory!$D$8</f>
        <v>0</v>
      </c>
      <c r="BJ80" s="299">
        <f>((BJ70*BI39)-(BJ70*((BI39-BJ39)*(1+$BR$35))))*Faktory!$D$8</f>
        <v>17379.908396946565</v>
      </c>
      <c r="BK80" s="262">
        <f t="shared" si="182"/>
        <v>17379.908396946565</v>
      </c>
      <c r="BL80" s="298">
        <f>BL9*BL39*Faktory!$D$8</f>
        <v>0</v>
      </c>
      <c r="BM80" s="299">
        <f>((BM70*BL39)-(BM70*((BL39-BM39)*(1+$BR$35))))*Faktory!$D$8</f>
        <v>17379.908396946565</v>
      </c>
      <c r="BN80" s="262">
        <f t="shared" si="183"/>
        <v>17379.908396946565</v>
      </c>
      <c r="BO80" s="298">
        <f>BO9*BO39*Faktory!$D$8</f>
        <v>0</v>
      </c>
      <c r="BP80" s="299">
        <f>((BP70*BO39)-(BP70*((BO39-BP39)*(1+$BR$35))))*Faktory!$D$8</f>
        <v>0</v>
      </c>
      <c r="BQ80" s="262">
        <f t="shared" si="184"/>
        <v>0</v>
      </c>
    </row>
    <row r="81" spans="1:69">
      <c r="A81" s="676"/>
      <c r="B81" s="678"/>
      <c r="C81" s="290" t="s">
        <v>30</v>
      </c>
      <c r="D81" s="291">
        <f t="shared" si="161"/>
        <v>0</v>
      </c>
      <c r="E81" s="292">
        <f t="shared" si="162"/>
        <v>364978.07633587776</v>
      </c>
      <c r="F81" s="293">
        <f t="shared" si="163"/>
        <v>364978.07633587776</v>
      </c>
      <c r="G81" s="298">
        <f>G10*G40*Faktory!$D$8</f>
        <v>0</v>
      </c>
      <c r="H81" s="299">
        <f>((H71*G40)-(H71*((G40-H40)*(1+$BR$35))))*Faktory!$D$8</f>
        <v>17379.908396946565</v>
      </c>
      <c r="I81" s="262">
        <f t="shared" si="164"/>
        <v>17379.908396946565</v>
      </c>
      <c r="J81" s="298">
        <f>J10*J40*Faktory!$D$8</f>
        <v>0</v>
      </c>
      <c r="K81" s="299">
        <f>((K71*J40)-(K71*((J40-K40)*(1+$BR$35))))*Faktory!$D$8</f>
        <v>17379.908396946565</v>
      </c>
      <c r="L81" s="262">
        <f t="shared" si="165"/>
        <v>17379.908396946565</v>
      </c>
      <c r="M81" s="298">
        <f>M10*M40*Faktory!$D$8</f>
        <v>0</v>
      </c>
      <c r="N81" s="299">
        <f>((N71*M40)-(N71*((M40-N40)*(1+$BR$35))))*Faktory!$D$8</f>
        <v>17379.908396946565</v>
      </c>
      <c r="O81" s="262">
        <f t="shared" si="166"/>
        <v>17379.908396946565</v>
      </c>
      <c r="P81" s="298">
        <f>P10*P40*Faktory!$D$8</f>
        <v>0</v>
      </c>
      <c r="Q81" s="299">
        <f>((Q71*P40)-(Q71*((P40-Q40)*(1+$BR$35))))*Faktory!$D$8</f>
        <v>17379.908396946565</v>
      </c>
      <c r="R81" s="262">
        <f t="shared" si="167"/>
        <v>17379.908396946565</v>
      </c>
      <c r="S81" s="298">
        <f>S10*S40*Faktory!$D$8</f>
        <v>0</v>
      </c>
      <c r="T81" s="299">
        <f>((T71*S40)-(T71*((S40-T40)*(1+$BR$35))))*Faktory!$D$8</f>
        <v>17379.908396946565</v>
      </c>
      <c r="U81" s="262">
        <f t="shared" si="168"/>
        <v>17379.908396946565</v>
      </c>
      <c r="V81" s="298">
        <f>V10*V40*Faktory!$D$8</f>
        <v>0</v>
      </c>
      <c r="W81" s="299">
        <f>((W71*V40)-(W71*((V40-W40)*(1+$BR$35))))*Faktory!$D$8</f>
        <v>17379.908396946565</v>
      </c>
      <c r="X81" s="262">
        <f t="shared" si="169"/>
        <v>17379.908396946565</v>
      </c>
      <c r="Y81" s="298">
        <f>Y10*Y40*Faktory!$D$8</f>
        <v>0</v>
      </c>
      <c r="Z81" s="299">
        <f>((Z71*Y40)-(Z71*((Y40-Z40)*(1+$BR$35))))*Faktory!$D$8</f>
        <v>17379.908396946565</v>
      </c>
      <c r="AA81" s="262">
        <f t="shared" si="170"/>
        <v>17379.908396946565</v>
      </c>
      <c r="AB81" s="298">
        <f>AB10*AB40*Faktory!$D$8</f>
        <v>0</v>
      </c>
      <c r="AC81" s="299">
        <f>((AC71*AB40)-(AC71*((AB40-AC40)*(1+$BR$35))))*Faktory!$D$8</f>
        <v>17379.908396946565</v>
      </c>
      <c r="AD81" s="262">
        <f t="shared" si="171"/>
        <v>17379.908396946565</v>
      </c>
      <c r="AE81" s="298">
        <f>AE10*AE40*Faktory!$D$8</f>
        <v>0</v>
      </c>
      <c r="AF81" s="299">
        <f>((AF71*AE40)-(AF71*((AE40-AF40)*(1+$BR$35))))*Faktory!$D$8</f>
        <v>17379.908396946565</v>
      </c>
      <c r="AG81" s="262">
        <f t="shared" si="172"/>
        <v>17379.908396946565</v>
      </c>
      <c r="AH81" s="298">
        <f>AH10*AH40*Faktory!$D$8</f>
        <v>0</v>
      </c>
      <c r="AI81" s="299">
        <f>((AI71*AH40)-(AI71*((AH40-AI40)*(1+$BR$35))))*Faktory!$D$8</f>
        <v>17379.908396946565</v>
      </c>
      <c r="AJ81" s="262">
        <f t="shared" si="173"/>
        <v>17379.908396946565</v>
      </c>
      <c r="AK81" s="298">
        <f>AK10*AK40*Faktory!$D$8</f>
        <v>0</v>
      </c>
      <c r="AL81" s="299">
        <f>((AL71*AK40)-(AL71*((AK40-AL40)*(1+$BR$35))))*Faktory!$D$8</f>
        <v>17379.908396946565</v>
      </c>
      <c r="AM81" s="262">
        <f t="shared" si="174"/>
        <v>17379.908396946565</v>
      </c>
      <c r="AN81" s="298">
        <f>AN10*AN40*Faktory!$D$8</f>
        <v>0</v>
      </c>
      <c r="AO81" s="299">
        <f>((AO71*AN40)-(AO71*((AN40-AO40)*(1+$BR$35))))*Faktory!$D$8</f>
        <v>17379.908396946565</v>
      </c>
      <c r="AP81" s="262">
        <f t="shared" si="175"/>
        <v>17379.908396946565</v>
      </c>
      <c r="AQ81" s="298">
        <f>AQ10*AQ40*Faktory!$D$8</f>
        <v>0</v>
      </c>
      <c r="AR81" s="299">
        <f>((AR71*AQ40)-(AR71*((AQ40-AR40)*(1+$BR$35))))*Faktory!$D$8</f>
        <v>17379.908396946565</v>
      </c>
      <c r="AS81" s="262">
        <f t="shared" si="176"/>
        <v>17379.908396946565</v>
      </c>
      <c r="AT81" s="298">
        <f>AT10*AT40*Faktory!$D$8</f>
        <v>0</v>
      </c>
      <c r="AU81" s="299">
        <f>((AU71*AT40)-(AU71*((AT40-AU40)*(1+$BR$35))))*Faktory!$D$8</f>
        <v>17379.908396946565</v>
      </c>
      <c r="AV81" s="262">
        <f t="shared" si="177"/>
        <v>17379.908396946565</v>
      </c>
      <c r="AW81" s="298">
        <f>AW10*AW40*Faktory!$D$8</f>
        <v>0</v>
      </c>
      <c r="AX81" s="299">
        <f>((AX71*AW40)-(AX71*((AW40-AX40)*(1+$BR$35))))*Faktory!$D$8</f>
        <v>17379.908396946565</v>
      </c>
      <c r="AY81" s="262">
        <f t="shared" si="178"/>
        <v>17379.908396946565</v>
      </c>
      <c r="AZ81" s="298">
        <f>AZ10*AZ40*Faktory!$D$8</f>
        <v>0</v>
      </c>
      <c r="BA81" s="299">
        <f>((BA71*AZ40)-(BA71*((AZ40-BA40)*(1+$BR$35))))*Faktory!$D$8</f>
        <v>17379.908396946565</v>
      </c>
      <c r="BB81" s="262">
        <f t="shared" si="179"/>
        <v>17379.908396946565</v>
      </c>
      <c r="BC81" s="298">
        <f>BC10*BC40*Faktory!$D$8</f>
        <v>0</v>
      </c>
      <c r="BD81" s="299">
        <f>((BD71*BC40)-(BD71*((BC40-BD40)*(1+$BR$35))))*Faktory!$D$8</f>
        <v>17379.908396946565</v>
      </c>
      <c r="BE81" s="262">
        <f t="shared" si="180"/>
        <v>17379.908396946565</v>
      </c>
      <c r="BF81" s="298">
        <f>BF10*BF40*Faktory!$D$8</f>
        <v>0</v>
      </c>
      <c r="BG81" s="299">
        <f>((BG71*BF40)-(BG71*((BF40-BG40)*(1+$BR$35))))*Faktory!$D$8</f>
        <v>17379.908396946565</v>
      </c>
      <c r="BH81" s="262">
        <f t="shared" si="181"/>
        <v>17379.908396946565</v>
      </c>
      <c r="BI81" s="298">
        <f>BI10*BI40*Faktory!$D$8</f>
        <v>0</v>
      </c>
      <c r="BJ81" s="299">
        <f>((BJ71*BI40)-(BJ71*((BI40-BJ40)*(1+$BR$35))))*Faktory!$D$8</f>
        <v>17379.908396946565</v>
      </c>
      <c r="BK81" s="262">
        <f t="shared" si="182"/>
        <v>17379.908396946565</v>
      </c>
      <c r="BL81" s="298">
        <f>BL10*BL40*Faktory!$D$8</f>
        <v>0</v>
      </c>
      <c r="BM81" s="299">
        <f>((BM71*BL40)-(BM71*((BL40-BM40)*(1+$BR$35))))*Faktory!$D$8</f>
        <v>17379.908396946565</v>
      </c>
      <c r="BN81" s="262">
        <f t="shared" si="183"/>
        <v>17379.908396946565</v>
      </c>
      <c r="BO81" s="298">
        <f>BO10*BO40*Faktory!$D$8</f>
        <v>0</v>
      </c>
      <c r="BP81" s="299">
        <f>((BP71*BO40)-(BP71*((BO40-BP40)*(1+$BR$35))))*Faktory!$D$8</f>
        <v>0</v>
      </c>
      <c r="BQ81" s="262">
        <f t="shared" si="184"/>
        <v>0</v>
      </c>
    </row>
    <row r="82" spans="1:69">
      <c r="A82" s="676"/>
      <c r="B82" s="678"/>
      <c r="C82" s="290" t="s">
        <v>31</v>
      </c>
      <c r="D82" s="291">
        <f t="shared" si="161"/>
        <v>0</v>
      </c>
      <c r="E82" s="292">
        <f t="shared" si="162"/>
        <v>364978.07633587776</v>
      </c>
      <c r="F82" s="293">
        <f t="shared" si="163"/>
        <v>364978.07633587776</v>
      </c>
      <c r="G82" s="298">
        <f>G11*G41*Faktory!$D$8</f>
        <v>0</v>
      </c>
      <c r="H82" s="299">
        <f>((H72*G41)-(H72*((G41-H41)*(1+$BR$35))))*Faktory!$D$8</f>
        <v>17379.908396946565</v>
      </c>
      <c r="I82" s="262">
        <f t="shared" si="164"/>
        <v>17379.908396946565</v>
      </c>
      <c r="J82" s="298">
        <f>J11*J41*Faktory!$D$8</f>
        <v>0</v>
      </c>
      <c r="K82" s="299">
        <f>((K72*J41)-(K72*((J41-K41)*(1+$BR$35))))*Faktory!$D$8</f>
        <v>17379.908396946565</v>
      </c>
      <c r="L82" s="262">
        <f t="shared" si="165"/>
        <v>17379.908396946565</v>
      </c>
      <c r="M82" s="298">
        <f>M11*M41*Faktory!$D$8</f>
        <v>0</v>
      </c>
      <c r="N82" s="299">
        <f>((N72*M41)-(N72*((M41-N41)*(1+$BR$35))))*Faktory!$D$8</f>
        <v>17379.908396946565</v>
      </c>
      <c r="O82" s="262">
        <f t="shared" si="166"/>
        <v>17379.908396946565</v>
      </c>
      <c r="P82" s="298">
        <f>P11*P41*Faktory!$D$8</f>
        <v>0</v>
      </c>
      <c r="Q82" s="299">
        <f>((Q72*P41)-(Q72*((P41-Q41)*(1+$BR$35))))*Faktory!$D$8</f>
        <v>17379.908396946565</v>
      </c>
      <c r="R82" s="262">
        <f t="shared" si="167"/>
        <v>17379.908396946565</v>
      </c>
      <c r="S82" s="298">
        <f>S11*S41*Faktory!$D$8</f>
        <v>0</v>
      </c>
      <c r="T82" s="299">
        <f>((T72*S41)-(T72*((S41-T41)*(1+$BR$35))))*Faktory!$D$8</f>
        <v>17379.908396946565</v>
      </c>
      <c r="U82" s="262">
        <f t="shared" si="168"/>
        <v>17379.908396946565</v>
      </c>
      <c r="V82" s="298">
        <f>V11*V41*Faktory!$D$8</f>
        <v>0</v>
      </c>
      <c r="W82" s="299">
        <f>((W72*V41)-(W72*((V41-W41)*(1+$BR$35))))*Faktory!$D$8</f>
        <v>17379.908396946565</v>
      </c>
      <c r="X82" s="262">
        <f t="shared" si="169"/>
        <v>17379.908396946565</v>
      </c>
      <c r="Y82" s="298">
        <f>Y11*Y41*Faktory!$D$8</f>
        <v>0</v>
      </c>
      <c r="Z82" s="299">
        <f>((Z72*Y41)-(Z72*((Y41-Z41)*(1+$BR$35))))*Faktory!$D$8</f>
        <v>17379.908396946565</v>
      </c>
      <c r="AA82" s="262">
        <f t="shared" si="170"/>
        <v>17379.908396946565</v>
      </c>
      <c r="AB82" s="298">
        <f>AB11*AB41*Faktory!$D$8</f>
        <v>0</v>
      </c>
      <c r="AC82" s="299">
        <f>((AC72*AB41)-(AC72*((AB41-AC41)*(1+$BR$35))))*Faktory!$D$8</f>
        <v>17379.908396946565</v>
      </c>
      <c r="AD82" s="262">
        <f t="shared" si="171"/>
        <v>17379.908396946565</v>
      </c>
      <c r="AE82" s="298">
        <f>AE11*AE41*Faktory!$D$8</f>
        <v>0</v>
      </c>
      <c r="AF82" s="299">
        <f>((AF72*AE41)-(AF72*((AE41-AF41)*(1+$BR$35))))*Faktory!$D$8</f>
        <v>17379.908396946565</v>
      </c>
      <c r="AG82" s="262">
        <f t="shared" si="172"/>
        <v>17379.908396946565</v>
      </c>
      <c r="AH82" s="298">
        <f>AH11*AH41*Faktory!$D$8</f>
        <v>0</v>
      </c>
      <c r="AI82" s="299">
        <f>((AI72*AH41)-(AI72*((AH41-AI41)*(1+$BR$35))))*Faktory!$D$8</f>
        <v>17379.908396946565</v>
      </c>
      <c r="AJ82" s="262">
        <f t="shared" si="173"/>
        <v>17379.908396946565</v>
      </c>
      <c r="AK82" s="298">
        <f>AK11*AK41*Faktory!$D$8</f>
        <v>0</v>
      </c>
      <c r="AL82" s="299">
        <f>((AL72*AK41)-(AL72*((AK41-AL41)*(1+$BR$35))))*Faktory!$D$8</f>
        <v>17379.908396946565</v>
      </c>
      <c r="AM82" s="262">
        <f t="shared" si="174"/>
        <v>17379.908396946565</v>
      </c>
      <c r="AN82" s="298">
        <f>AN11*AN41*Faktory!$D$8</f>
        <v>0</v>
      </c>
      <c r="AO82" s="299">
        <f>((AO72*AN41)-(AO72*((AN41-AO41)*(1+$BR$35))))*Faktory!$D$8</f>
        <v>17379.908396946565</v>
      </c>
      <c r="AP82" s="262">
        <f t="shared" si="175"/>
        <v>17379.908396946565</v>
      </c>
      <c r="AQ82" s="298">
        <f>AQ11*AQ41*Faktory!$D$8</f>
        <v>0</v>
      </c>
      <c r="AR82" s="299">
        <f>((AR72*AQ41)-(AR72*((AQ41-AR41)*(1+$BR$35))))*Faktory!$D$8</f>
        <v>17379.908396946565</v>
      </c>
      <c r="AS82" s="262">
        <f t="shared" si="176"/>
        <v>17379.908396946565</v>
      </c>
      <c r="AT82" s="298">
        <f>AT11*AT41*Faktory!$D$8</f>
        <v>0</v>
      </c>
      <c r="AU82" s="299">
        <f>((AU72*AT41)-(AU72*((AT41-AU41)*(1+$BR$35))))*Faktory!$D$8</f>
        <v>17379.908396946565</v>
      </c>
      <c r="AV82" s="262">
        <f t="shared" si="177"/>
        <v>17379.908396946565</v>
      </c>
      <c r="AW82" s="298">
        <f>AW11*AW41*Faktory!$D$8</f>
        <v>0</v>
      </c>
      <c r="AX82" s="299">
        <f>((AX72*AW41)-(AX72*((AW41-AX41)*(1+$BR$35))))*Faktory!$D$8</f>
        <v>17379.908396946565</v>
      </c>
      <c r="AY82" s="262">
        <f t="shared" si="178"/>
        <v>17379.908396946565</v>
      </c>
      <c r="AZ82" s="298">
        <f>AZ11*AZ41*Faktory!$D$8</f>
        <v>0</v>
      </c>
      <c r="BA82" s="299">
        <f>((BA72*AZ41)-(BA72*((AZ41-BA41)*(1+$BR$35))))*Faktory!$D$8</f>
        <v>17379.908396946565</v>
      </c>
      <c r="BB82" s="262">
        <f t="shared" si="179"/>
        <v>17379.908396946565</v>
      </c>
      <c r="BC82" s="298">
        <f>BC11*BC41*Faktory!$D$8</f>
        <v>0</v>
      </c>
      <c r="BD82" s="299">
        <f>((BD72*BC41)-(BD72*((BC41-BD41)*(1+$BR$35))))*Faktory!$D$8</f>
        <v>17379.908396946565</v>
      </c>
      <c r="BE82" s="262">
        <f t="shared" si="180"/>
        <v>17379.908396946565</v>
      </c>
      <c r="BF82" s="298">
        <f>BF11*BF41*Faktory!$D$8</f>
        <v>0</v>
      </c>
      <c r="BG82" s="299">
        <f>((BG72*BF41)-(BG72*((BF41-BG41)*(1+$BR$35))))*Faktory!$D$8</f>
        <v>17379.908396946565</v>
      </c>
      <c r="BH82" s="262">
        <f t="shared" si="181"/>
        <v>17379.908396946565</v>
      </c>
      <c r="BI82" s="298">
        <f>BI11*BI41*Faktory!$D$8</f>
        <v>0</v>
      </c>
      <c r="BJ82" s="299">
        <f>((BJ72*BI41)-(BJ72*((BI41-BJ41)*(1+$BR$35))))*Faktory!$D$8</f>
        <v>17379.908396946565</v>
      </c>
      <c r="BK82" s="262">
        <f t="shared" si="182"/>
        <v>17379.908396946565</v>
      </c>
      <c r="BL82" s="298">
        <f>BL11*BL41*Faktory!$D$8</f>
        <v>0</v>
      </c>
      <c r="BM82" s="299">
        <f>((BM72*BL41)-(BM72*((BL41-BM41)*(1+$BR$35))))*Faktory!$D$8</f>
        <v>17379.908396946565</v>
      </c>
      <c r="BN82" s="262">
        <f t="shared" si="183"/>
        <v>17379.908396946565</v>
      </c>
      <c r="BO82" s="298">
        <f>BO11*BO41*Faktory!$D$8</f>
        <v>0</v>
      </c>
      <c r="BP82" s="299">
        <f>((BP72*BO41)-(BP72*((BO41-BP41)*(1+$BR$35))))*Faktory!$D$8</f>
        <v>0</v>
      </c>
      <c r="BQ82" s="262">
        <f t="shared" si="184"/>
        <v>0</v>
      </c>
    </row>
    <row r="83" spans="1:69">
      <c r="A83" s="676"/>
      <c r="B83" s="678"/>
      <c r="C83" s="290" t="s">
        <v>32</v>
      </c>
      <c r="D83" s="291">
        <f t="shared" si="161"/>
        <v>0</v>
      </c>
      <c r="E83" s="292">
        <f t="shared" si="162"/>
        <v>364978.07633587776</v>
      </c>
      <c r="F83" s="293">
        <f t="shared" si="163"/>
        <v>364978.07633587776</v>
      </c>
      <c r="G83" s="298">
        <f>G12*G42*Faktory!$D$8</f>
        <v>0</v>
      </c>
      <c r="H83" s="299">
        <f>((H73*G42)-(H73*((G42-H42)*(1+$BR$35))))*Faktory!$D$8</f>
        <v>17379.908396946565</v>
      </c>
      <c r="I83" s="262">
        <f t="shared" si="164"/>
        <v>17379.908396946565</v>
      </c>
      <c r="J83" s="298">
        <f>J12*J42*Faktory!$D$8</f>
        <v>0</v>
      </c>
      <c r="K83" s="299">
        <f>((K73*J42)-(K73*((J42-K42)*(1+$BR$35))))*Faktory!$D$8</f>
        <v>17379.908396946565</v>
      </c>
      <c r="L83" s="262">
        <f t="shared" si="165"/>
        <v>17379.908396946565</v>
      </c>
      <c r="M83" s="298">
        <f>M12*M42*Faktory!$D$8</f>
        <v>0</v>
      </c>
      <c r="N83" s="299">
        <f>((N73*M42)-(N73*((M42-N42)*(1+$BR$35))))*Faktory!$D$8</f>
        <v>17379.908396946565</v>
      </c>
      <c r="O83" s="262">
        <f t="shared" si="166"/>
        <v>17379.908396946565</v>
      </c>
      <c r="P83" s="298">
        <f>P12*P42*Faktory!$D$8</f>
        <v>0</v>
      </c>
      <c r="Q83" s="299">
        <f>((Q73*P42)-(Q73*((P42-Q42)*(1+$BR$35))))*Faktory!$D$8</f>
        <v>17379.908396946565</v>
      </c>
      <c r="R83" s="262">
        <f t="shared" si="167"/>
        <v>17379.908396946565</v>
      </c>
      <c r="S83" s="298">
        <f>S12*S42*Faktory!$D$8</f>
        <v>0</v>
      </c>
      <c r="T83" s="299">
        <f>((T73*S42)-(T73*((S42-T42)*(1+$BR$35))))*Faktory!$D$8</f>
        <v>17379.908396946565</v>
      </c>
      <c r="U83" s="262">
        <f t="shared" si="168"/>
        <v>17379.908396946565</v>
      </c>
      <c r="V83" s="298">
        <f>V12*V42*Faktory!$D$8</f>
        <v>0</v>
      </c>
      <c r="W83" s="299">
        <f>((W73*V42)-(W73*((V42-W42)*(1+$BR$35))))*Faktory!$D$8</f>
        <v>17379.908396946565</v>
      </c>
      <c r="X83" s="262">
        <f t="shared" si="169"/>
        <v>17379.908396946565</v>
      </c>
      <c r="Y83" s="298">
        <f>Y12*Y42*Faktory!$D$8</f>
        <v>0</v>
      </c>
      <c r="Z83" s="299">
        <f>((Z73*Y42)-(Z73*((Y42-Z42)*(1+$BR$35))))*Faktory!$D$8</f>
        <v>17379.908396946565</v>
      </c>
      <c r="AA83" s="262">
        <f t="shared" si="170"/>
        <v>17379.908396946565</v>
      </c>
      <c r="AB83" s="298">
        <f>AB12*AB42*Faktory!$D$8</f>
        <v>0</v>
      </c>
      <c r="AC83" s="299">
        <f>((AC73*AB42)-(AC73*((AB42-AC42)*(1+$BR$35))))*Faktory!$D$8</f>
        <v>17379.908396946565</v>
      </c>
      <c r="AD83" s="262">
        <f t="shared" si="171"/>
        <v>17379.908396946565</v>
      </c>
      <c r="AE83" s="298">
        <f>AE12*AE42*Faktory!$D$8</f>
        <v>0</v>
      </c>
      <c r="AF83" s="299">
        <f>((AF73*AE42)-(AF73*((AE42-AF42)*(1+$BR$35))))*Faktory!$D$8</f>
        <v>17379.908396946565</v>
      </c>
      <c r="AG83" s="262">
        <f t="shared" si="172"/>
        <v>17379.908396946565</v>
      </c>
      <c r="AH83" s="298">
        <f>AH12*AH42*Faktory!$D$8</f>
        <v>0</v>
      </c>
      <c r="AI83" s="299">
        <f>((AI73*AH42)-(AI73*((AH42-AI42)*(1+$BR$35))))*Faktory!$D$8</f>
        <v>17379.908396946565</v>
      </c>
      <c r="AJ83" s="262">
        <f t="shared" si="173"/>
        <v>17379.908396946565</v>
      </c>
      <c r="AK83" s="298">
        <f>AK12*AK42*Faktory!$D$8</f>
        <v>0</v>
      </c>
      <c r="AL83" s="299">
        <f>((AL73*AK42)-(AL73*((AK42-AL42)*(1+$BR$35))))*Faktory!$D$8</f>
        <v>17379.908396946565</v>
      </c>
      <c r="AM83" s="262">
        <f t="shared" si="174"/>
        <v>17379.908396946565</v>
      </c>
      <c r="AN83" s="298">
        <f>AN12*AN42*Faktory!$D$8</f>
        <v>0</v>
      </c>
      <c r="AO83" s="299">
        <f>((AO73*AN42)-(AO73*((AN42-AO42)*(1+$BR$35))))*Faktory!$D$8</f>
        <v>17379.908396946565</v>
      </c>
      <c r="AP83" s="262">
        <f t="shared" si="175"/>
        <v>17379.908396946565</v>
      </c>
      <c r="AQ83" s="298">
        <f>AQ12*AQ42*Faktory!$D$8</f>
        <v>0</v>
      </c>
      <c r="AR83" s="299">
        <f>((AR73*AQ42)-(AR73*((AQ42-AR42)*(1+$BR$35))))*Faktory!$D$8</f>
        <v>17379.908396946565</v>
      </c>
      <c r="AS83" s="262">
        <f t="shared" si="176"/>
        <v>17379.908396946565</v>
      </c>
      <c r="AT83" s="298">
        <f>AT12*AT42*Faktory!$D$8</f>
        <v>0</v>
      </c>
      <c r="AU83" s="299">
        <f>((AU73*AT42)-(AU73*((AT42-AU42)*(1+$BR$35))))*Faktory!$D$8</f>
        <v>17379.908396946565</v>
      </c>
      <c r="AV83" s="262">
        <f t="shared" si="177"/>
        <v>17379.908396946565</v>
      </c>
      <c r="AW83" s="298">
        <f>AW12*AW42*Faktory!$D$8</f>
        <v>0</v>
      </c>
      <c r="AX83" s="299">
        <f>((AX73*AW42)-(AX73*((AW42-AX42)*(1+$BR$35))))*Faktory!$D$8</f>
        <v>17379.908396946565</v>
      </c>
      <c r="AY83" s="262">
        <f t="shared" si="178"/>
        <v>17379.908396946565</v>
      </c>
      <c r="AZ83" s="298">
        <f>AZ12*AZ42*Faktory!$D$8</f>
        <v>0</v>
      </c>
      <c r="BA83" s="299">
        <f>((BA73*AZ42)-(BA73*((AZ42-BA42)*(1+$BR$35))))*Faktory!$D$8</f>
        <v>17379.908396946565</v>
      </c>
      <c r="BB83" s="262">
        <f t="shared" si="179"/>
        <v>17379.908396946565</v>
      </c>
      <c r="BC83" s="298">
        <f>BC12*BC42*Faktory!$D$8</f>
        <v>0</v>
      </c>
      <c r="BD83" s="299">
        <f>((BD73*BC42)-(BD73*((BC42-BD42)*(1+$BR$35))))*Faktory!$D$8</f>
        <v>17379.908396946565</v>
      </c>
      <c r="BE83" s="262">
        <f t="shared" si="180"/>
        <v>17379.908396946565</v>
      </c>
      <c r="BF83" s="298">
        <f>BF12*BF42*Faktory!$D$8</f>
        <v>0</v>
      </c>
      <c r="BG83" s="299">
        <f>((BG73*BF42)-(BG73*((BF42-BG42)*(1+$BR$35))))*Faktory!$D$8</f>
        <v>17379.908396946565</v>
      </c>
      <c r="BH83" s="262">
        <f t="shared" si="181"/>
        <v>17379.908396946565</v>
      </c>
      <c r="BI83" s="298">
        <f>BI12*BI42*Faktory!$D$8</f>
        <v>0</v>
      </c>
      <c r="BJ83" s="299">
        <f>((BJ73*BI42)-(BJ73*((BI42-BJ42)*(1+$BR$35))))*Faktory!$D$8</f>
        <v>17379.908396946565</v>
      </c>
      <c r="BK83" s="262">
        <f t="shared" si="182"/>
        <v>17379.908396946565</v>
      </c>
      <c r="BL83" s="298">
        <f>BL12*BL42*Faktory!$D$8</f>
        <v>0</v>
      </c>
      <c r="BM83" s="299">
        <f>((BM73*BL42)-(BM73*((BL42-BM42)*(1+$BR$35))))*Faktory!$D$8</f>
        <v>17379.908396946565</v>
      </c>
      <c r="BN83" s="262">
        <f t="shared" si="183"/>
        <v>17379.908396946565</v>
      </c>
      <c r="BO83" s="298">
        <f>BO12*BO42*Faktory!$D$8</f>
        <v>0</v>
      </c>
      <c r="BP83" s="299">
        <f>((BP73*BO42)-(BP73*((BO42-BP42)*(1+$BR$35))))*Faktory!$D$8</f>
        <v>0</v>
      </c>
      <c r="BQ83" s="262">
        <f t="shared" si="184"/>
        <v>0</v>
      </c>
    </row>
    <row r="84" spans="1:69">
      <c r="A84" s="676"/>
      <c r="B84" s="678"/>
      <c r="C84" s="290" t="s">
        <v>33</v>
      </c>
      <c r="D84" s="291">
        <f t="shared" si="161"/>
        <v>0</v>
      </c>
      <c r="E84" s="292">
        <f t="shared" si="162"/>
        <v>364978.07633587776</v>
      </c>
      <c r="F84" s="293">
        <f t="shared" si="163"/>
        <v>364978.07633587776</v>
      </c>
      <c r="G84" s="298">
        <f>G13*G43*Faktory!$D$8</f>
        <v>0</v>
      </c>
      <c r="H84" s="299">
        <f>((H74*G43)-(H74*((G43-H43)*(1+$BR$35))))*Faktory!$D$8</f>
        <v>17379.908396946565</v>
      </c>
      <c r="I84" s="262">
        <f t="shared" si="164"/>
        <v>17379.908396946565</v>
      </c>
      <c r="J84" s="298">
        <f>J13*J43*Faktory!$D$8</f>
        <v>0</v>
      </c>
      <c r="K84" s="299">
        <f>((K74*J43)-(K74*((J43-K43)*(1+$BR$35))))*Faktory!$D$8</f>
        <v>17379.908396946565</v>
      </c>
      <c r="L84" s="262">
        <f t="shared" si="165"/>
        <v>17379.908396946565</v>
      </c>
      <c r="M84" s="298">
        <f>M13*M43*Faktory!$D$8</f>
        <v>0</v>
      </c>
      <c r="N84" s="299">
        <f>((N74*M43)-(N74*((M43-N43)*(1+$BR$35))))*Faktory!$D$8</f>
        <v>17379.908396946565</v>
      </c>
      <c r="O84" s="262">
        <f t="shared" si="166"/>
        <v>17379.908396946565</v>
      </c>
      <c r="P84" s="298">
        <f>P13*P43*Faktory!$D$8</f>
        <v>0</v>
      </c>
      <c r="Q84" s="299">
        <f>((Q74*P43)-(Q74*((P43-Q43)*(1+$BR$35))))*Faktory!$D$8</f>
        <v>17379.908396946565</v>
      </c>
      <c r="R84" s="262">
        <f t="shared" si="167"/>
        <v>17379.908396946565</v>
      </c>
      <c r="S84" s="298">
        <f>S13*S43*Faktory!$D$8</f>
        <v>0</v>
      </c>
      <c r="T84" s="299">
        <f>((T74*S43)-(T74*((S43-T43)*(1+$BR$35))))*Faktory!$D$8</f>
        <v>17379.908396946565</v>
      </c>
      <c r="U84" s="262">
        <f t="shared" si="168"/>
        <v>17379.908396946565</v>
      </c>
      <c r="V84" s="298">
        <f>V13*V43*Faktory!$D$8</f>
        <v>0</v>
      </c>
      <c r="W84" s="299">
        <f>((W74*V43)-(W74*((V43-W43)*(1+$BR$35))))*Faktory!$D$8</f>
        <v>17379.908396946565</v>
      </c>
      <c r="X84" s="262">
        <f t="shared" si="169"/>
        <v>17379.908396946565</v>
      </c>
      <c r="Y84" s="298">
        <f>Y13*Y43*Faktory!$D$8</f>
        <v>0</v>
      </c>
      <c r="Z84" s="299">
        <f>((Z74*Y43)-(Z74*((Y43-Z43)*(1+$BR$35))))*Faktory!$D$8</f>
        <v>17379.908396946565</v>
      </c>
      <c r="AA84" s="262">
        <f t="shared" si="170"/>
        <v>17379.908396946565</v>
      </c>
      <c r="AB84" s="298">
        <f>AB13*AB43*Faktory!$D$8</f>
        <v>0</v>
      </c>
      <c r="AC84" s="299">
        <f>((AC74*AB43)-(AC74*((AB43-AC43)*(1+$BR$35))))*Faktory!$D$8</f>
        <v>17379.908396946565</v>
      </c>
      <c r="AD84" s="262">
        <f t="shared" si="171"/>
        <v>17379.908396946565</v>
      </c>
      <c r="AE84" s="298">
        <f>AE13*AE43*Faktory!$D$8</f>
        <v>0</v>
      </c>
      <c r="AF84" s="299">
        <f>((AF74*AE43)-(AF74*((AE43-AF43)*(1+$BR$35))))*Faktory!$D$8</f>
        <v>17379.908396946565</v>
      </c>
      <c r="AG84" s="262">
        <f t="shared" si="172"/>
        <v>17379.908396946565</v>
      </c>
      <c r="AH84" s="298">
        <f>AH13*AH43*Faktory!$D$8</f>
        <v>0</v>
      </c>
      <c r="AI84" s="299">
        <f>((AI74*AH43)-(AI74*((AH43-AI43)*(1+$BR$35))))*Faktory!$D$8</f>
        <v>17379.908396946565</v>
      </c>
      <c r="AJ84" s="262">
        <f t="shared" si="173"/>
        <v>17379.908396946565</v>
      </c>
      <c r="AK84" s="298">
        <f>AK13*AK43*Faktory!$D$8</f>
        <v>0</v>
      </c>
      <c r="AL84" s="299">
        <f>((AL74*AK43)-(AL74*((AK43-AL43)*(1+$BR$35))))*Faktory!$D$8</f>
        <v>17379.908396946565</v>
      </c>
      <c r="AM84" s="262">
        <f t="shared" si="174"/>
        <v>17379.908396946565</v>
      </c>
      <c r="AN84" s="298">
        <f>AN13*AN43*Faktory!$D$8</f>
        <v>0</v>
      </c>
      <c r="AO84" s="299">
        <f>((AO74*AN43)-(AO74*((AN43-AO43)*(1+$BR$35))))*Faktory!$D$8</f>
        <v>17379.908396946565</v>
      </c>
      <c r="AP84" s="262">
        <f t="shared" si="175"/>
        <v>17379.908396946565</v>
      </c>
      <c r="AQ84" s="298">
        <f>AQ13*AQ43*Faktory!$D$8</f>
        <v>0</v>
      </c>
      <c r="AR84" s="299">
        <f>((AR74*AQ43)-(AR74*((AQ43-AR43)*(1+$BR$35))))*Faktory!$D$8</f>
        <v>17379.908396946565</v>
      </c>
      <c r="AS84" s="262">
        <f t="shared" si="176"/>
        <v>17379.908396946565</v>
      </c>
      <c r="AT84" s="298">
        <f>AT13*AT43*Faktory!$D$8</f>
        <v>0</v>
      </c>
      <c r="AU84" s="299">
        <f>((AU74*AT43)-(AU74*((AT43-AU43)*(1+$BR$35))))*Faktory!$D$8</f>
        <v>17379.908396946565</v>
      </c>
      <c r="AV84" s="262">
        <f t="shared" si="177"/>
        <v>17379.908396946565</v>
      </c>
      <c r="AW84" s="298">
        <f>AW13*AW43*Faktory!$D$8</f>
        <v>0</v>
      </c>
      <c r="AX84" s="299">
        <f>((AX74*AW43)-(AX74*((AW43-AX43)*(1+$BR$35))))*Faktory!$D$8</f>
        <v>17379.908396946565</v>
      </c>
      <c r="AY84" s="262">
        <f t="shared" si="178"/>
        <v>17379.908396946565</v>
      </c>
      <c r="AZ84" s="298">
        <f>AZ13*AZ43*Faktory!$D$8</f>
        <v>0</v>
      </c>
      <c r="BA84" s="299">
        <f>((BA74*AZ43)-(BA74*((AZ43-BA43)*(1+$BR$35))))*Faktory!$D$8</f>
        <v>17379.908396946565</v>
      </c>
      <c r="BB84" s="262">
        <f t="shared" si="179"/>
        <v>17379.908396946565</v>
      </c>
      <c r="BC84" s="298">
        <f>BC13*BC43*Faktory!$D$8</f>
        <v>0</v>
      </c>
      <c r="BD84" s="299">
        <f>((BD74*BC43)-(BD74*((BC43-BD43)*(1+$BR$35))))*Faktory!$D$8</f>
        <v>17379.908396946565</v>
      </c>
      <c r="BE84" s="262">
        <f t="shared" si="180"/>
        <v>17379.908396946565</v>
      </c>
      <c r="BF84" s="298">
        <f>BF13*BF43*Faktory!$D$8</f>
        <v>0</v>
      </c>
      <c r="BG84" s="299">
        <f>((BG74*BF43)-(BG74*((BF43-BG43)*(1+$BR$35))))*Faktory!$D$8</f>
        <v>17379.908396946565</v>
      </c>
      <c r="BH84" s="262">
        <f t="shared" si="181"/>
        <v>17379.908396946565</v>
      </c>
      <c r="BI84" s="298">
        <f>BI13*BI43*Faktory!$D$8</f>
        <v>0</v>
      </c>
      <c r="BJ84" s="299">
        <f>((BJ74*BI43)-(BJ74*((BI43-BJ43)*(1+$BR$35))))*Faktory!$D$8</f>
        <v>17379.908396946565</v>
      </c>
      <c r="BK84" s="262">
        <f t="shared" si="182"/>
        <v>17379.908396946565</v>
      </c>
      <c r="BL84" s="298">
        <f>BL13*BL43*Faktory!$D$8</f>
        <v>0</v>
      </c>
      <c r="BM84" s="299">
        <f>((BM74*BL43)-(BM74*((BL43-BM43)*(1+$BR$35))))*Faktory!$D$8</f>
        <v>17379.908396946565</v>
      </c>
      <c r="BN84" s="262">
        <f t="shared" si="183"/>
        <v>17379.908396946565</v>
      </c>
      <c r="BO84" s="298">
        <f>BO13*BO43*Faktory!$D$8</f>
        <v>0</v>
      </c>
      <c r="BP84" s="299">
        <f>((BP74*BO43)-(BP74*((BO43-BP43)*(1+$BR$35))))*Faktory!$D$8</f>
        <v>0</v>
      </c>
      <c r="BQ84" s="262">
        <f t="shared" si="184"/>
        <v>0</v>
      </c>
    </row>
    <row r="85" spans="1:69" ht="15.75" thickBot="1">
      <c r="A85" s="677"/>
      <c r="B85" s="679"/>
      <c r="C85" s="300" t="s">
        <v>34</v>
      </c>
      <c r="D85" s="301">
        <f t="shared" si="161"/>
        <v>0</v>
      </c>
      <c r="E85" s="302">
        <f t="shared" si="162"/>
        <v>364978.07633587776</v>
      </c>
      <c r="F85" s="303">
        <f t="shared" si="163"/>
        <v>364978.07633587776</v>
      </c>
      <c r="G85" s="304">
        <f>G14*G44*Faktory!$D$8</f>
        <v>0</v>
      </c>
      <c r="H85" s="305">
        <f>((H75*G44)-(H75*((G44-H44)*(1+$BR$35))))*Faktory!$D$8</f>
        <v>17379.908396946565</v>
      </c>
      <c r="I85" s="267">
        <f t="shared" si="164"/>
        <v>17379.908396946565</v>
      </c>
      <c r="J85" s="304">
        <f>J14*J44*Faktory!$D$8</f>
        <v>0</v>
      </c>
      <c r="K85" s="305">
        <f>((K75*J44)-(K75*((J44-K44)*(1+$BR$35))))*Faktory!$D$8</f>
        <v>17379.908396946565</v>
      </c>
      <c r="L85" s="267">
        <f t="shared" si="165"/>
        <v>17379.908396946565</v>
      </c>
      <c r="M85" s="304">
        <f>M14*M44*Faktory!$D$8</f>
        <v>0</v>
      </c>
      <c r="N85" s="305">
        <f>((N75*M44)-(N75*((M44-N44)*(1+$BR$35))))*Faktory!$D$8</f>
        <v>17379.908396946565</v>
      </c>
      <c r="O85" s="267">
        <f t="shared" si="166"/>
        <v>17379.908396946565</v>
      </c>
      <c r="P85" s="304">
        <f>P14*P44*Faktory!$D$8</f>
        <v>0</v>
      </c>
      <c r="Q85" s="305">
        <f>((Q75*P44)-(Q75*((P44-Q44)*(1+$BR$35))))*Faktory!$D$8</f>
        <v>17379.908396946565</v>
      </c>
      <c r="R85" s="267">
        <f t="shared" si="167"/>
        <v>17379.908396946565</v>
      </c>
      <c r="S85" s="304">
        <f>S14*S44*Faktory!$D$8</f>
        <v>0</v>
      </c>
      <c r="T85" s="305">
        <f>((T75*S44)-(T75*((S44-T44)*(1+$BR$35))))*Faktory!$D$8</f>
        <v>17379.908396946565</v>
      </c>
      <c r="U85" s="267">
        <f t="shared" si="168"/>
        <v>17379.908396946565</v>
      </c>
      <c r="V85" s="304">
        <f>V14*V44*Faktory!$D$8</f>
        <v>0</v>
      </c>
      <c r="W85" s="305">
        <f>((W75*V44)-(W75*((V44-W44)*(1+$BR$35))))*Faktory!$D$8</f>
        <v>17379.908396946565</v>
      </c>
      <c r="X85" s="267">
        <f t="shared" si="169"/>
        <v>17379.908396946565</v>
      </c>
      <c r="Y85" s="304">
        <f>Y14*Y44*Faktory!$D$8</f>
        <v>0</v>
      </c>
      <c r="Z85" s="305">
        <f>((Z75*Y44)-(Z75*((Y44-Z44)*(1+$BR$35))))*Faktory!$D$8</f>
        <v>17379.908396946565</v>
      </c>
      <c r="AA85" s="267">
        <f t="shared" si="170"/>
        <v>17379.908396946565</v>
      </c>
      <c r="AB85" s="304">
        <f>AB14*AB44*Faktory!$D$8</f>
        <v>0</v>
      </c>
      <c r="AC85" s="305">
        <f>((AC75*AB44)-(AC75*((AB44-AC44)*(1+$BR$35))))*Faktory!$D$8</f>
        <v>17379.908396946565</v>
      </c>
      <c r="AD85" s="267">
        <f t="shared" si="171"/>
        <v>17379.908396946565</v>
      </c>
      <c r="AE85" s="304">
        <f>AE14*AE44*Faktory!$D$8</f>
        <v>0</v>
      </c>
      <c r="AF85" s="305">
        <f>((AF75*AE44)-(AF75*((AE44-AF44)*(1+$BR$35))))*Faktory!$D$8</f>
        <v>17379.908396946565</v>
      </c>
      <c r="AG85" s="267">
        <f t="shared" si="172"/>
        <v>17379.908396946565</v>
      </c>
      <c r="AH85" s="304">
        <f>AH14*AH44*Faktory!$D$8</f>
        <v>0</v>
      </c>
      <c r="AI85" s="305">
        <f>((AI75*AH44)-(AI75*((AH44-AI44)*(1+$BR$35))))*Faktory!$D$8</f>
        <v>17379.908396946565</v>
      </c>
      <c r="AJ85" s="267">
        <f t="shared" si="173"/>
        <v>17379.908396946565</v>
      </c>
      <c r="AK85" s="304">
        <f>AK14*AK44*Faktory!$D$8</f>
        <v>0</v>
      </c>
      <c r="AL85" s="305">
        <f>((AL75*AK44)-(AL75*((AK44-AL44)*(1+$BR$35))))*Faktory!$D$8</f>
        <v>17379.908396946565</v>
      </c>
      <c r="AM85" s="267">
        <f t="shared" si="174"/>
        <v>17379.908396946565</v>
      </c>
      <c r="AN85" s="304">
        <f>AN14*AN44*Faktory!$D$8</f>
        <v>0</v>
      </c>
      <c r="AO85" s="305">
        <f>((AO75*AN44)-(AO75*((AN44-AO44)*(1+$BR$35))))*Faktory!$D$8</f>
        <v>17379.908396946565</v>
      </c>
      <c r="AP85" s="267">
        <f t="shared" si="175"/>
        <v>17379.908396946565</v>
      </c>
      <c r="AQ85" s="304">
        <f>AQ14*AQ44*Faktory!$D$8</f>
        <v>0</v>
      </c>
      <c r="AR85" s="305">
        <f>((AR75*AQ44)-(AR75*((AQ44-AR44)*(1+$BR$35))))*Faktory!$D$8</f>
        <v>17379.908396946565</v>
      </c>
      <c r="AS85" s="267">
        <f t="shared" si="176"/>
        <v>17379.908396946565</v>
      </c>
      <c r="AT85" s="304">
        <f>AT14*AT44*Faktory!$D$8</f>
        <v>0</v>
      </c>
      <c r="AU85" s="305">
        <f>((AU75*AT44)-(AU75*((AT44-AU44)*(1+$BR$35))))*Faktory!$D$8</f>
        <v>17379.908396946565</v>
      </c>
      <c r="AV85" s="267">
        <f t="shared" si="177"/>
        <v>17379.908396946565</v>
      </c>
      <c r="AW85" s="304">
        <f>AW14*AW44*Faktory!$D$8</f>
        <v>0</v>
      </c>
      <c r="AX85" s="305">
        <f>((AX75*AW44)-(AX75*((AW44-AX44)*(1+$BR$35))))*Faktory!$D$8</f>
        <v>17379.908396946565</v>
      </c>
      <c r="AY85" s="267">
        <f t="shared" si="178"/>
        <v>17379.908396946565</v>
      </c>
      <c r="AZ85" s="304">
        <f>AZ14*AZ44*Faktory!$D$8</f>
        <v>0</v>
      </c>
      <c r="BA85" s="305">
        <f>((BA75*AZ44)-(BA75*((AZ44-BA44)*(1+$BR$35))))*Faktory!$D$8</f>
        <v>17379.908396946565</v>
      </c>
      <c r="BB85" s="267">
        <f t="shared" si="179"/>
        <v>17379.908396946565</v>
      </c>
      <c r="BC85" s="304">
        <f>BC14*BC44*Faktory!$D$8</f>
        <v>0</v>
      </c>
      <c r="BD85" s="305">
        <f>((BD75*BC44)-(BD75*((BC44-BD44)*(1+$BR$35))))*Faktory!$D$8</f>
        <v>17379.908396946565</v>
      </c>
      <c r="BE85" s="267">
        <f t="shared" si="180"/>
        <v>17379.908396946565</v>
      </c>
      <c r="BF85" s="304">
        <f>BF14*BF44*Faktory!$D$8</f>
        <v>0</v>
      </c>
      <c r="BG85" s="305">
        <f>((BG75*BF44)-(BG75*((BF44-BG44)*(1+$BR$35))))*Faktory!$D$8</f>
        <v>17379.908396946565</v>
      </c>
      <c r="BH85" s="267">
        <f t="shared" si="181"/>
        <v>17379.908396946565</v>
      </c>
      <c r="BI85" s="304">
        <f>BI14*BI44*Faktory!$D$8</f>
        <v>0</v>
      </c>
      <c r="BJ85" s="305">
        <f>((BJ75*BI44)-(BJ75*((BI44-BJ44)*(1+$BR$35))))*Faktory!$D$8</f>
        <v>17379.908396946565</v>
      </c>
      <c r="BK85" s="267">
        <f t="shared" si="182"/>
        <v>17379.908396946565</v>
      </c>
      <c r="BL85" s="304">
        <f>BL14*BL44*Faktory!$D$8</f>
        <v>0</v>
      </c>
      <c r="BM85" s="305">
        <f>((BM75*BL44)-(BM75*((BL44-BM44)*(1+$BR$35))))*Faktory!$D$8</f>
        <v>17379.908396946565</v>
      </c>
      <c r="BN85" s="267">
        <f t="shared" si="183"/>
        <v>17379.908396946565</v>
      </c>
      <c r="BO85" s="304">
        <f>BO14*BO44*Faktory!$D$8</f>
        <v>0</v>
      </c>
      <c r="BP85" s="305">
        <f>((BP75*BO44)-(BP75*((BO44-BP44)*(1+$BR$35))))*Faktory!$D$8</f>
        <v>0</v>
      </c>
      <c r="BQ85" s="267">
        <f t="shared" si="184"/>
        <v>0</v>
      </c>
    </row>
    <row r="86" spans="1:69">
      <c r="A86" s="676" t="s">
        <v>143</v>
      </c>
      <c r="B86" s="678" t="s">
        <v>144</v>
      </c>
      <c r="C86" s="290" t="s">
        <v>25</v>
      </c>
      <c r="D86" s="291">
        <f t="shared" si="161"/>
        <v>0</v>
      </c>
      <c r="E86" s="292">
        <f t="shared" si="162"/>
        <v>0</v>
      </c>
      <c r="F86" s="293">
        <f t="shared" si="163"/>
        <v>0</v>
      </c>
      <c r="G86" s="308">
        <f t="shared" ref="G86:H95" si="185">(G5*G35)/12/21/7.5</f>
        <v>0</v>
      </c>
      <c r="H86" s="309">
        <f t="shared" si="185"/>
        <v>0</v>
      </c>
      <c r="I86" s="310">
        <f t="shared" si="164"/>
        <v>0</v>
      </c>
      <c r="J86" s="308">
        <f t="shared" ref="J86:K86" si="186">(J5*J35)/12/21/7.5</f>
        <v>0</v>
      </c>
      <c r="K86" s="309">
        <f t="shared" si="186"/>
        <v>0</v>
      </c>
      <c r="L86" s="310">
        <f t="shared" si="165"/>
        <v>0</v>
      </c>
      <c r="M86" s="308">
        <f t="shared" ref="M86:N86" si="187">(M5*M35)/12/21/7.5</f>
        <v>0</v>
      </c>
      <c r="N86" s="309">
        <f t="shared" si="187"/>
        <v>0</v>
      </c>
      <c r="O86" s="310">
        <f t="shared" si="166"/>
        <v>0</v>
      </c>
      <c r="P86" s="308">
        <f t="shared" ref="P86:Q86" si="188">(P5*P35)/12/21/7.5</f>
        <v>0</v>
      </c>
      <c r="Q86" s="309">
        <f t="shared" si="188"/>
        <v>0</v>
      </c>
      <c r="R86" s="310">
        <f t="shared" si="167"/>
        <v>0</v>
      </c>
      <c r="S86" s="308">
        <f t="shared" ref="S86:T86" si="189">(S5*S35)/12/21/7.5</f>
        <v>0</v>
      </c>
      <c r="T86" s="309">
        <f t="shared" si="189"/>
        <v>0</v>
      </c>
      <c r="U86" s="310">
        <f t="shared" si="168"/>
        <v>0</v>
      </c>
      <c r="V86" s="308">
        <f t="shared" ref="V86:W86" si="190">(V5*V35)/12/21/7.5</f>
        <v>0</v>
      </c>
      <c r="W86" s="309">
        <f t="shared" si="190"/>
        <v>0</v>
      </c>
      <c r="X86" s="310">
        <f t="shared" si="169"/>
        <v>0</v>
      </c>
      <c r="Y86" s="308">
        <f t="shared" ref="Y86:Z86" si="191">(Y5*Y35)/12/21/7.5</f>
        <v>0</v>
      </c>
      <c r="Z86" s="309">
        <f t="shared" si="191"/>
        <v>0</v>
      </c>
      <c r="AA86" s="310">
        <f t="shared" si="170"/>
        <v>0</v>
      </c>
      <c r="AB86" s="308">
        <f t="shared" ref="AB86:AC86" si="192">(AB5*AB35)/12/21/7.5</f>
        <v>0</v>
      </c>
      <c r="AC86" s="309">
        <f t="shared" si="192"/>
        <v>0</v>
      </c>
      <c r="AD86" s="310">
        <f t="shared" si="171"/>
        <v>0</v>
      </c>
      <c r="AE86" s="308">
        <f t="shared" ref="AE86:AF86" si="193">(AE5*AE35)/12/21/7.5</f>
        <v>0</v>
      </c>
      <c r="AF86" s="309">
        <f t="shared" si="193"/>
        <v>0</v>
      </c>
      <c r="AG86" s="310">
        <f t="shared" si="172"/>
        <v>0</v>
      </c>
      <c r="AH86" s="308">
        <f t="shared" ref="AH86:AI86" si="194">(AH5*AH35)/12/21/7.5</f>
        <v>0</v>
      </c>
      <c r="AI86" s="309">
        <f t="shared" si="194"/>
        <v>0</v>
      </c>
      <c r="AJ86" s="310">
        <f t="shared" si="173"/>
        <v>0</v>
      </c>
      <c r="AK86" s="308">
        <f t="shared" ref="AK86:AL86" si="195">(AK5*AK35)/12/21/7.5</f>
        <v>0</v>
      </c>
      <c r="AL86" s="309">
        <f t="shared" si="195"/>
        <v>0</v>
      </c>
      <c r="AM86" s="310">
        <f t="shared" si="174"/>
        <v>0</v>
      </c>
      <c r="AN86" s="308">
        <f t="shared" ref="AN86:AO86" si="196">(AN5*AN35)/12/21/7.5</f>
        <v>0</v>
      </c>
      <c r="AO86" s="309">
        <f t="shared" si="196"/>
        <v>0</v>
      </c>
      <c r="AP86" s="310">
        <f t="shared" si="175"/>
        <v>0</v>
      </c>
      <c r="AQ86" s="308">
        <f t="shared" ref="AQ86:AR86" si="197">(AQ5*AQ35)/12/21/7.5</f>
        <v>0</v>
      </c>
      <c r="AR86" s="309">
        <f t="shared" si="197"/>
        <v>0</v>
      </c>
      <c r="AS86" s="310">
        <f t="shared" si="176"/>
        <v>0</v>
      </c>
      <c r="AT86" s="308">
        <f t="shared" ref="AT86:AU86" si="198">(AT5*AT35)/12/21/7.5</f>
        <v>0</v>
      </c>
      <c r="AU86" s="309">
        <f t="shared" si="198"/>
        <v>0</v>
      </c>
      <c r="AV86" s="310">
        <f t="shared" si="177"/>
        <v>0</v>
      </c>
      <c r="AW86" s="308">
        <f t="shared" ref="AW86:AX86" si="199">(AW5*AW35)/12/21/7.5</f>
        <v>0</v>
      </c>
      <c r="AX86" s="309">
        <f t="shared" si="199"/>
        <v>0</v>
      </c>
      <c r="AY86" s="310">
        <f t="shared" si="178"/>
        <v>0</v>
      </c>
      <c r="AZ86" s="308">
        <f t="shared" ref="AZ86:BA86" si="200">(AZ5*AZ35)/12/21/7.5</f>
        <v>0</v>
      </c>
      <c r="BA86" s="309">
        <f t="shared" si="200"/>
        <v>0</v>
      </c>
      <c r="BB86" s="310">
        <f t="shared" si="179"/>
        <v>0</v>
      </c>
      <c r="BC86" s="308">
        <f t="shared" ref="BC86:BD86" si="201">(BC5*BC35)/12/21/7.5</f>
        <v>0</v>
      </c>
      <c r="BD86" s="309">
        <f t="shared" si="201"/>
        <v>0</v>
      </c>
      <c r="BE86" s="310">
        <f t="shared" si="180"/>
        <v>0</v>
      </c>
      <c r="BF86" s="308">
        <f t="shared" ref="BF86:BG86" si="202">(BF5*BF35)/12/21/7.5</f>
        <v>0</v>
      </c>
      <c r="BG86" s="309">
        <f t="shared" si="202"/>
        <v>0</v>
      </c>
      <c r="BH86" s="310">
        <f t="shared" si="181"/>
        <v>0</v>
      </c>
      <c r="BI86" s="308">
        <f t="shared" ref="BI86:BJ95" si="203">(BI5*BI35)/12/21/7.5</f>
        <v>0</v>
      </c>
      <c r="BJ86" s="309">
        <f t="shared" si="203"/>
        <v>0</v>
      </c>
      <c r="BK86" s="310">
        <f t="shared" si="182"/>
        <v>0</v>
      </c>
      <c r="BL86" s="308">
        <f t="shared" ref="BL86:BM95" si="204">(BL5*BL35)/12/21/7.5</f>
        <v>0</v>
      </c>
      <c r="BM86" s="309">
        <f t="shared" si="204"/>
        <v>0</v>
      </c>
      <c r="BN86" s="310">
        <f t="shared" si="183"/>
        <v>0</v>
      </c>
      <c r="BO86" s="308">
        <f t="shared" ref="BO86:BP95" si="205">(BO5*BO35)/12/21/7.5</f>
        <v>0</v>
      </c>
      <c r="BP86" s="309">
        <f t="shared" si="205"/>
        <v>0</v>
      </c>
      <c r="BQ86" s="310">
        <f t="shared" si="184"/>
        <v>0</v>
      </c>
    </row>
    <row r="87" spans="1:69">
      <c r="A87" s="676"/>
      <c r="B87" s="678"/>
      <c r="C87" s="290" t="s">
        <v>26</v>
      </c>
      <c r="D87" s="291">
        <f t="shared" si="161"/>
        <v>0</v>
      </c>
      <c r="E87" s="292">
        <f t="shared" si="162"/>
        <v>0</v>
      </c>
      <c r="F87" s="293">
        <f t="shared" si="163"/>
        <v>0</v>
      </c>
      <c r="G87" s="311">
        <f t="shared" si="185"/>
        <v>0</v>
      </c>
      <c r="H87" s="312">
        <f t="shared" si="185"/>
        <v>0</v>
      </c>
      <c r="I87" s="313">
        <f t="shared" si="164"/>
        <v>0</v>
      </c>
      <c r="J87" s="311">
        <f t="shared" ref="J87:K87" si="206">(J6*J36)/12/21/7.5</f>
        <v>0</v>
      </c>
      <c r="K87" s="312">
        <f t="shared" si="206"/>
        <v>0</v>
      </c>
      <c r="L87" s="313">
        <f t="shared" si="165"/>
        <v>0</v>
      </c>
      <c r="M87" s="311">
        <f t="shared" ref="M87:N87" si="207">(M6*M36)/12/21/7.5</f>
        <v>0</v>
      </c>
      <c r="N87" s="312">
        <f t="shared" si="207"/>
        <v>0</v>
      </c>
      <c r="O87" s="313">
        <f t="shared" si="166"/>
        <v>0</v>
      </c>
      <c r="P87" s="311">
        <f t="shared" ref="P87:Q87" si="208">(P6*P36)/12/21/7.5</f>
        <v>0</v>
      </c>
      <c r="Q87" s="312">
        <f t="shared" si="208"/>
        <v>0</v>
      </c>
      <c r="R87" s="313">
        <f t="shared" si="167"/>
        <v>0</v>
      </c>
      <c r="S87" s="311">
        <f t="shared" ref="S87:T87" si="209">(S6*S36)/12/21/7.5</f>
        <v>0</v>
      </c>
      <c r="T87" s="312">
        <f t="shared" si="209"/>
        <v>0</v>
      </c>
      <c r="U87" s="313">
        <f t="shared" si="168"/>
        <v>0</v>
      </c>
      <c r="V87" s="311">
        <f t="shared" ref="V87:W87" si="210">(V6*V36)/12/21/7.5</f>
        <v>0</v>
      </c>
      <c r="W87" s="312">
        <f t="shared" si="210"/>
        <v>0</v>
      </c>
      <c r="X87" s="313">
        <f t="shared" si="169"/>
        <v>0</v>
      </c>
      <c r="Y87" s="311">
        <f t="shared" ref="Y87:Z87" si="211">(Y6*Y36)/12/21/7.5</f>
        <v>0</v>
      </c>
      <c r="Z87" s="312">
        <f t="shared" si="211"/>
        <v>0</v>
      </c>
      <c r="AA87" s="313">
        <f t="shared" si="170"/>
        <v>0</v>
      </c>
      <c r="AB87" s="311">
        <f t="shared" ref="AB87:AC87" si="212">(AB6*AB36)/12/21/7.5</f>
        <v>0</v>
      </c>
      <c r="AC87" s="312">
        <f t="shared" si="212"/>
        <v>0</v>
      </c>
      <c r="AD87" s="313">
        <f t="shared" si="171"/>
        <v>0</v>
      </c>
      <c r="AE87" s="311">
        <f t="shared" ref="AE87:AF87" si="213">(AE6*AE36)/12/21/7.5</f>
        <v>0</v>
      </c>
      <c r="AF87" s="312">
        <f t="shared" si="213"/>
        <v>0</v>
      </c>
      <c r="AG87" s="313">
        <f t="shared" si="172"/>
        <v>0</v>
      </c>
      <c r="AH87" s="311">
        <f t="shared" ref="AH87:AI87" si="214">(AH6*AH36)/12/21/7.5</f>
        <v>0</v>
      </c>
      <c r="AI87" s="312">
        <f t="shared" si="214"/>
        <v>0</v>
      </c>
      <c r="AJ87" s="313">
        <f t="shared" si="173"/>
        <v>0</v>
      </c>
      <c r="AK87" s="311">
        <f t="shared" ref="AK87:AL87" si="215">(AK6*AK36)/12/21/7.5</f>
        <v>0</v>
      </c>
      <c r="AL87" s="312">
        <f t="shared" si="215"/>
        <v>0</v>
      </c>
      <c r="AM87" s="313">
        <f t="shared" si="174"/>
        <v>0</v>
      </c>
      <c r="AN87" s="311">
        <f t="shared" ref="AN87:AO87" si="216">(AN6*AN36)/12/21/7.5</f>
        <v>0</v>
      </c>
      <c r="AO87" s="312">
        <f t="shared" si="216"/>
        <v>0</v>
      </c>
      <c r="AP87" s="313">
        <f t="shared" si="175"/>
        <v>0</v>
      </c>
      <c r="AQ87" s="311">
        <f t="shared" ref="AQ87:AR87" si="217">(AQ6*AQ36)/12/21/7.5</f>
        <v>0</v>
      </c>
      <c r="AR87" s="312">
        <f t="shared" si="217"/>
        <v>0</v>
      </c>
      <c r="AS87" s="313">
        <f t="shared" si="176"/>
        <v>0</v>
      </c>
      <c r="AT87" s="311">
        <f t="shared" ref="AT87:AU87" si="218">(AT6*AT36)/12/21/7.5</f>
        <v>0</v>
      </c>
      <c r="AU87" s="312">
        <f t="shared" si="218"/>
        <v>0</v>
      </c>
      <c r="AV87" s="313">
        <f t="shared" si="177"/>
        <v>0</v>
      </c>
      <c r="AW87" s="311">
        <f t="shared" ref="AW87:AX87" si="219">(AW6*AW36)/12/21/7.5</f>
        <v>0</v>
      </c>
      <c r="AX87" s="312">
        <f t="shared" si="219"/>
        <v>0</v>
      </c>
      <c r="AY87" s="313">
        <f t="shared" si="178"/>
        <v>0</v>
      </c>
      <c r="AZ87" s="311">
        <f t="shared" ref="AZ87:BA87" si="220">(AZ6*AZ36)/12/21/7.5</f>
        <v>0</v>
      </c>
      <c r="BA87" s="312">
        <f t="shared" si="220"/>
        <v>0</v>
      </c>
      <c r="BB87" s="313">
        <f t="shared" si="179"/>
        <v>0</v>
      </c>
      <c r="BC87" s="311">
        <f t="shared" ref="BC87:BD87" si="221">(BC6*BC36)/12/21/7.5</f>
        <v>0</v>
      </c>
      <c r="BD87" s="312">
        <f t="shared" si="221"/>
        <v>0</v>
      </c>
      <c r="BE87" s="313">
        <f t="shared" si="180"/>
        <v>0</v>
      </c>
      <c r="BF87" s="311">
        <f t="shared" ref="BF87:BG87" si="222">(BF6*BF36)/12/21/7.5</f>
        <v>0</v>
      </c>
      <c r="BG87" s="312">
        <f t="shared" si="222"/>
        <v>0</v>
      </c>
      <c r="BH87" s="313">
        <f t="shared" si="181"/>
        <v>0</v>
      </c>
      <c r="BI87" s="311">
        <f t="shared" si="203"/>
        <v>0</v>
      </c>
      <c r="BJ87" s="312">
        <f t="shared" si="203"/>
        <v>0</v>
      </c>
      <c r="BK87" s="313">
        <f t="shared" si="182"/>
        <v>0</v>
      </c>
      <c r="BL87" s="311">
        <f t="shared" si="204"/>
        <v>0</v>
      </c>
      <c r="BM87" s="312">
        <f t="shared" si="204"/>
        <v>0</v>
      </c>
      <c r="BN87" s="313">
        <f t="shared" si="183"/>
        <v>0</v>
      </c>
      <c r="BO87" s="311">
        <f t="shared" si="205"/>
        <v>0</v>
      </c>
      <c r="BP87" s="312">
        <f t="shared" si="205"/>
        <v>0</v>
      </c>
      <c r="BQ87" s="313">
        <f t="shared" si="184"/>
        <v>0</v>
      </c>
    </row>
    <row r="88" spans="1:69">
      <c r="A88" s="676"/>
      <c r="B88" s="678"/>
      <c r="C88" s="290" t="s">
        <v>27</v>
      </c>
      <c r="D88" s="291">
        <f t="shared" si="161"/>
        <v>0</v>
      </c>
      <c r="E88" s="292">
        <f t="shared" si="162"/>
        <v>11.111111111111109</v>
      </c>
      <c r="F88" s="293">
        <f t="shared" si="163"/>
        <v>11.111111111111109</v>
      </c>
      <c r="G88" s="311">
        <f t="shared" si="185"/>
        <v>0</v>
      </c>
      <c r="H88" s="312">
        <f t="shared" si="185"/>
        <v>0.52910052910052907</v>
      </c>
      <c r="I88" s="313">
        <f t="shared" si="164"/>
        <v>0.52910052910052907</v>
      </c>
      <c r="J88" s="311">
        <f t="shared" ref="J88:K88" si="223">(J7*J37)/12/21/7.5</f>
        <v>0</v>
      </c>
      <c r="K88" s="312">
        <f t="shared" si="223"/>
        <v>0.52910052910052907</v>
      </c>
      <c r="L88" s="313">
        <f t="shared" si="165"/>
        <v>0.52910052910052907</v>
      </c>
      <c r="M88" s="311">
        <f t="shared" ref="M88:N88" si="224">(M7*M37)/12/21/7.5</f>
        <v>0</v>
      </c>
      <c r="N88" s="312">
        <f t="shared" si="224"/>
        <v>0.52910052910052907</v>
      </c>
      <c r="O88" s="313">
        <f t="shared" si="166"/>
        <v>0.52910052910052907</v>
      </c>
      <c r="P88" s="311">
        <f t="shared" ref="P88:Q88" si="225">(P7*P37)/12/21/7.5</f>
        <v>0</v>
      </c>
      <c r="Q88" s="312">
        <f t="shared" si="225"/>
        <v>0.52910052910052907</v>
      </c>
      <c r="R88" s="313">
        <f t="shared" si="167"/>
        <v>0.52910052910052907</v>
      </c>
      <c r="S88" s="311">
        <f t="shared" ref="S88:T88" si="226">(S7*S37)/12/21/7.5</f>
        <v>0</v>
      </c>
      <c r="T88" s="312">
        <f t="shared" si="226"/>
        <v>0.52910052910052907</v>
      </c>
      <c r="U88" s="313">
        <f t="shared" si="168"/>
        <v>0.52910052910052907</v>
      </c>
      <c r="V88" s="311">
        <f t="shared" ref="V88:W88" si="227">(V7*V37)/12/21/7.5</f>
        <v>0</v>
      </c>
      <c r="W88" s="312">
        <f t="shared" si="227"/>
        <v>0.52910052910052907</v>
      </c>
      <c r="X88" s="313">
        <f t="shared" si="169"/>
        <v>0.52910052910052907</v>
      </c>
      <c r="Y88" s="311">
        <f t="shared" ref="Y88:Z88" si="228">(Y7*Y37)/12/21/7.5</f>
        <v>0</v>
      </c>
      <c r="Z88" s="312">
        <f t="shared" si="228"/>
        <v>0.52910052910052907</v>
      </c>
      <c r="AA88" s="313">
        <f t="shared" si="170"/>
        <v>0.52910052910052907</v>
      </c>
      <c r="AB88" s="311">
        <f t="shared" ref="AB88:AC88" si="229">(AB7*AB37)/12/21/7.5</f>
        <v>0</v>
      </c>
      <c r="AC88" s="312">
        <f t="shared" si="229"/>
        <v>0.52910052910052907</v>
      </c>
      <c r="AD88" s="313">
        <f t="shared" si="171"/>
        <v>0.52910052910052907</v>
      </c>
      <c r="AE88" s="311">
        <f t="shared" ref="AE88:AF88" si="230">(AE7*AE37)/12/21/7.5</f>
        <v>0</v>
      </c>
      <c r="AF88" s="312">
        <f t="shared" si="230"/>
        <v>0.52910052910052907</v>
      </c>
      <c r="AG88" s="313">
        <f t="shared" si="172"/>
        <v>0.52910052910052907</v>
      </c>
      <c r="AH88" s="311">
        <f t="shared" ref="AH88:AI88" si="231">(AH7*AH37)/12/21/7.5</f>
        <v>0</v>
      </c>
      <c r="AI88" s="312">
        <f t="shared" si="231"/>
        <v>0.52910052910052907</v>
      </c>
      <c r="AJ88" s="313">
        <f t="shared" si="173"/>
        <v>0.52910052910052907</v>
      </c>
      <c r="AK88" s="311">
        <f t="shared" ref="AK88:AL88" si="232">(AK7*AK37)/12/21/7.5</f>
        <v>0</v>
      </c>
      <c r="AL88" s="312">
        <f t="shared" si="232"/>
        <v>0.52910052910052907</v>
      </c>
      <c r="AM88" s="313">
        <f t="shared" si="174"/>
        <v>0.52910052910052907</v>
      </c>
      <c r="AN88" s="311">
        <f t="shared" ref="AN88:AO88" si="233">(AN7*AN37)/12/21/7.5</f>
        <v>0</v>
      </c>
      <c r="AO88" s="312">
        <f t="shared" si="233"/>
        <v>0.52910052910052907</v>
      </c>
      <c r="AP88" s="313">
        <f t="shared" si="175"/>
        <v>0.52910052910052907</v>
      </c>
      <c r="AQ88" s="311">
        <f t="shared" ref="AQ88:AR88" si="234">(AQ7*AQ37)/12/21/7.5</f>
        <v>0</v>
      </c>
      <c r="AR88" s="312">
        <f t="shared" si="234"/>
        <v>0.52910052910052907</v>
      </c>
      <c r="AS88" s="313">
        <f t="shared" si="176"/>
        <v>0.52910052910052907</v>
      </c>
      <c r="AT88" s="311">
        <f t="shared" ref="AT88:AU88" si="235">(AT7*AT37)/12/21/7.5</f>
        <v>0</v>
      </c>
      <c r="AU88" s="312">
        <f t="shared" si="235"/>
        <v>0.52910052910052907</v>
      </c>
      <c r="AV88" s="313">
        <f t="shared" si="177"/>
        <v>0.52910052910052907</v>
      </c>
      <c r="AW88" s="311">
        <f t="shared" ref="AW88:AX88" si="236">(AW7*AW37)/12/21/7.5</f>
        <v>0</v>
      </c>
      <c r="AX88" s="312">
        <f t="shared" si="236"/>
        <v>0.52910052910052907</v>
      </c>
      <c r="AY88" s="313">
        <f t="shared" si="178"/>
        <v>0.52910052910052907</v>
      </c>
      <c r="AZ88" s="311">
        <f t="shared" ref="AZ88:BA88" si="237">(AZ7*AZ37)/12/21/7.5</f>
        <v>0</v>
      </c>
      <c r="BA88" s="312">
        <f t="shared" si="237"/>
        <v>0.52910052910052907</v>
      </c>
      <c r="BB88" s="313">
        <f t="shared" si="179"/>
        <v>0.52910052910052907</v>
      </c>
      <c r="BC88" s="311">
        <f t="shared" ref="BC88:BD88" si="238">(BC7*BC37)/12/21/7.5</f>
        <v>0</v>
      </c>
      <c r="BD88" s="312">
        <f t="shared" si="238"/>
        <v>0.52910052910052907</v>
      </c>
      <c r="BE88" s="313">
        <f t="shared" si="180"/>
        <v>0.52910052910052907</v>
      </c>
      <c r="BF88" s="311">
        <f t="shared" ref="BF88:BG88" si="239">(BF7*BF37)/12/21/7.5</f>
        <v>0</v>
      </c>
      <c r="BG88" s="312">
        <f t="shared" si="239"/>
        <v>0.52910052910052907</v>
      </c>
      <c r="BH88" s="313">
        <f t="shared" si="181"/>
        <v>0.52910052910052907</v>
      </c>
      <c r="BI88" s="311">
        <f t="shared" si="203"/>
        <v>0</v>
      </c>
      <c r="BJ88" s="312">
        <f t="shared" si="203"/>
        <v>0.52910052910052907</v>
      </c>
      <c r="BK88" s="313">
        <f t="shared" si="182"/>
        <v>0.52910052910052907</v>
      </c>
      <c r="BL88" s="311">
        <f t="shared" si="204"/>
        <v>0</v>
      </c>
      <c r="BM88" s="312">
        <f t="shared" si="204"/>
        <v>0.52910052910052907</v>
      </c>
      <c r="BN88" s="313">
        <f t="shared" si="183"/>
        <v>0.52910052910052907</v>
      </c>
      <c r="BO88" s="311">
        <f t="shared" si="205"/>
        <v>0</v>
      </c>
      <c r="BP88" s="312">
        <f t="shared" si="205"/>
        <v>0</v>
      </c>
      <c r="BQ88" s="313">
        <f t="shared" si="184"/>
        <v>0</v>
      </c>
    </row>
    <row r="89" spans="1:69">
      <c r="A89" s="676"/>
      <c r="B89" s="678"/>
      <c r="C89" s="290" t="s">
        <v>28</v>
      </c>
      <c r="D89" s="291">
        <f t="shared" si="161"/>
        <v>0</v>
      </c>
      <c r="E89" s="292">
        <f t="shared" si="162"/>
        <v>11.111111111111109</v>
      </c>
      <c r="F89" s="293">
        <f t="shared" si="163"/>
        <v>11.111111111111109</v>
      </c>
      <c r="G89" s="311">
        <f t="shared" si="185"/>
        <v>0</v>
      </c>
      <c r="H89" s="312">
        <f t="shared" si="185"/>
        <v>0.52910052910052907</v>
      </c>
      <c r="I89" s="313">
        <f t="shared" si="164"/>
        <v>0.52910052910052907</v>
      </c>
      <c r="J89" s="311">
        <f t="shared" ref="J89:K89" si="240">(J8*J38)/12/21/7.5</f>
        <v>0</v>
      </c>
      <c r="K89" s="312">
        <f t="shared" si="240"/>
        <v>0.52910052910052907</v>
      </c>
      <c r="L89" s="313">
        <f t="shared" si="165"/>
        <v>0.52910052910052907</v>
      </c>
      <c r="M89" s="311">
        <f t="shared" ref="M89:N89" si="241">(M8*M38)/12/21/7.5</f>
        <v>0</v>
      </c>
      <c r="N89" s="312">
        <f t="shared" si="241"/>
        <v>0.52910052910052907</v>
      </c>
      <c r="O89" s="313">
        <f t="shared" si="166"/>
        <v>0.52910052910052907</v>
      </c>
      <c r="P89" s="311">
        <f t="shared" ref="P89:Q89" si="242">(P8*P38)/12/21/7.5</f>
        <v>0</v>
      </c>
      <c r="Q89" s="312">
        <f t="shared" si="242"/>
        <v>0.52910052910052907</v>
      </c>
      <c r="R89" s="313">
        <f t="shared" si="167"/>
        <v>0.52910052910052907</v>
      </c>
      <c r="S89" s="311">
        <f t="shared" ref="S89:T89" si="243">(S8*S38)/12/21/7.5</f>
        <v>0</v>
      </c>
      <c r="T89" s="312">
        <f t="shared" si="243"/>
        <v>0.52910052910052907</v>
      </c>
      <c r="U89" s="313">
        <f t="shared" si="168"/>
        <v>0.52910052910052907</v>
      </c>
      <c r="V89" s="311">
        <f t="shared" ref="V89:W89" si="244">(V8*V38)/12/21/7.5</f>
        <v>0</v>
      </c>
      <c r="W89" s="312">
        <f t="shared" si="244"/>
        <v>0.52910052910052907</v>
      </c>
      <c r="X89" s="313">
        <f t="shared" si="169"/>
        <v>0.52910052910052907</v>
      </c>
      <c r="Y89" s="311">
        <f t="shared" ref="Y89:Z89" si="245">(Y8*Y38)/12/21/7.5</f>
        <v>0</v>
      </c>
      <c r="Z89" s="312">
        <f t="shared" si="245"/>
        <v>0.52910052910052907</v>
      </c>
      <c r="AA89" s="313">
        <f t="shared" si="170"/>
        <v>0.52910052910052907</v>
      </c>
      <c r="AB89" s="311">
        <f t="shared" ref="AB89:AC89" si="246">(AB8*AB38)/12/21/7.5</f>
        <v>0</v>
      </c>
      <c r="AC89" s="312">
        <f t="shared" si="246"/>
        <v>0.52910052910052907</v>
      </c>
      <c r="AD89" s="313">
        <f t="shared" si="171"/>
        <v>0.52910052910052907</v>
      </c>
      <c r="AE89" s="311">
        <f t="shared" ref="AE89:AF89" si="247">(AE8*AE38)/12/21/7.5</f>
        <v>0</v>
      </c>
      <c r="AF89" s="312">
        <f t="shared" si="247"/>
        <v>0.52910052910052907</v>
      </c>
      <c r="AG89" s="313">
        <f t="shared" si="172"/>
        <v>0.52910052910052907</v>
      </c>
      <c r="AH89" s="311">
        <f t="shared" ref="AH89:AI89" si="248">(AH8*AH38)/12/21/7.5</f>
        <v>0</v>
      </c>
      <c r="AI89" s="312">
        <f t="shared" si="248"/>
        <v>0.52910052910052907</v>
      </c>
      <c r="AJ89" s="313">
        <f t="shared" si="173"/>
        <v>0.52910052910052907</v>
      </c>
      <c r="AK89" s="311">
        <f t="shared" ref="AK89:AL89" si="249">(AK8*AK38)/12/21/7.5</f>
        <v>0</v>
      </c>
      <c r="AL89" s="312">
        <f t="shared" si="249"/>
        <v>0.52910052910052907</v>
      </c>
      <c r="AM89" s="313">
        <f t="shared" si="174"/>
        <v>0.52910052910052907</v>
      </c>
      <c r="AN89" s="311">
        <f t="shared" ref="AN89:AO89" si="250">(AN8*AN38)/12/21/7.5</f>
        <v>0</v>
      </c>
      <c r="AO89" s="312">
        <f t="shared" si="250"/>
        <v>0.52910052910052907</v>
      </c>
      <c r="AP89" s="313">
        <f t="shared" si="175"/>
        <v>0.52910052910052907</v>
      </c>
      <c r="AQ89" s="311">
        <f t="shared" ref="AQ89:AR89" si="251">(AQ8*AQ38)/12/21/7.5</f>
        <v>0</v>
      </c>
      <c r="AR89" s="312">
        <f t="shared" si="251"/>
        <v>0.52910052910052907</v>
      </c>
      <c r="AS89" s="313">
        <f t="shared" si="176"/>
        <v>0.52910052910052907</v>
      </c>
      <c r="AT89" s="311">
        <f t="shared" ref="AT89:AU89" si="252">(AT8*AT38)/12/21/7.5</f>
        <v>0</v>
      </c>
      <c r="AU89" s="312">
        <f t="shared" si="252"/>
        <v>0.52910052910052907</v>
      </c>
      <c r="AV89" s="313">
        <f t="shared" si="177"/>
        <v>0.52910052910052907</v>
      </c>
      <c r="AW89" s="311">
        <f t="shared" ref="AW89:AX89" si="253">(AW8*AW38)/12/21/7.5</f>
        <v>0</v>
      </c>
      <c r="AX89" s="312">
        <f t="shared" si="253"/>
        <v>0.52910052910052907</v>
      </c>
      <c r="AY89" s="313">
        <f t="shared" si="178"/>
        <v>0.52910052910052907</v>
      </c>
      <c r="AZ89" s="311">
        <f t="shared" ref="AZ89:BA89" si="254">(AZ8*AZ38)/12/21/7.5</f>
        <v>0</v>
      </c>
      <c r="BA89" s="312">
        <f t="shared" si="254"/>
        <v>0.52910052910052907</v>
      </c>
      <c r="BB89" s="313">
        <f t="shared" si="179"/>
        <v>0.52910052910052907</v>
      </c>
      <c r="BC89" s="311">
        <f t="shared" ref="BC89:BD89" si="255">(BC8*BC38)/12/21/7.5</f>
        <v>0</v>
      </c>
      <c r="BD89" s="312">
        <f t="shared" si="255"/>
        <v>0.52910052910052907</v>
      </c>
      <c r="BE89" s="313">
        <f t="shared" si="180"/>
        <v>0.52910052910052907</v>
      </c>
      <c r="BF89" s="311">
        <f t="shared" ref="BF89:BG89" si="256">(BF8*BF38)/12/21/7.5</f>
        <v>0</v>
      </c>
      <c r="BG89" s="312">
        <f t="shared" si="256"/>
        <v>0.52910052910052907</v>
      </c>
      <c r="BH89" s="313">
        <f t="shared" si="181"/>
        <v>0.52910052910052907</v>
      </c>
      <c r="BI89" s="311">
        <f t="shared" si="203"/>
        <v>0</v>
      </c>
      <c r="BJ89" s="312">
        <f t="shared" si="203"/>
        <v>0.52910052910052907</v>
      </c>
      <c r="BK89" s="313">
        <f t="shared" si="182"/>
        <v>0.52910052910052907</v>
      </c>
      <c r="BL89" s="311">
        <f t="shared" si="204"/>
        <v>0</v>
      </c>
      <c r="BM89" s="312">
        <f t="shared" si="204"/>
        <v>0.52910052910052907</v>
      </c>
      <c r="BN89" s="313">
        <f t="shared" si="183"/>
        <v>0.52910052910052907</v>
      </c>
      <c r="BO89" s="311">
        <f t="shared" si="205"/>
        <v>0</v>
      </c>
      <c r="BP89" s="312">
        <f t="shared" si="205"/>
        <v>0</v>
      </c>
      <c r="BQ89" s="313">
        <f t="shared" si="184"/>
        <v>0</v>
      </c>
    </row>
    <row r="90" spans="1:69">
      <c r="A90" s="676"/>
      <c r="B90" s="678"/>
      <c r="C90" s="290" t="s">
        <v>29</v>
      </c>
      <c r="D90" s="291">
        <f t="shared" si="161"/>
        <v>0</v>
      </c>
      <c r="E90" s="292">
        <f t="shared" si="162"/>
        <v>11.111111111111109</v>
      </c>
      <c r="F90" s="293">
        <f t="shared" si="163"/>
        <v>11.111111111111109</v>
      </c>
      <c r="G90" s="311">
        <f t="shared" si="185"/>
        <v>0</v>
      </c>
      <c r="H90" s="312">
        <f t="shared" si="185"/>
        <v>0.52910052910052907</v>
      </c>
      <c r="I90" s="313">
        <f t="shared" si="164"/>
        <v>0.52910052910052907</v>
      </c>
      <c r="J90" s="311">
        <f t="shared" ref="J90:K90" si="257">(J9*J39)/12/21/7.5</f>
        <v>0</v>
      </c>
      <c r="K90" s="312">
        <f t="shared" si="257"/>
        <v>0.52910052910052907</v>
      </c>
      <c r="L90" s="313">
        <f t="shared" si="165"/>
        <v>0.52910052910052907</v>
      </c>
      <c r="M90" s="311">
        <f t="shared" ref="M90:N90" si="258">(M9*M39)/12/21/7.5</f>
        <v>0</v>
      </c>
      <c r="N90" s="312">
        <f t="shared" si="258"/>
        <v>0.52910052910052907</v>
      </c>
      <c r="O90" s="313">
        <f t="shared" si="166"/>
        <v>0.52910052910052907</v>
      </c>
      <c r="P90" s="311">
        <f t="shared" ref="P90:Q90" si="259">(P9*P39)/12/21/7.5</f>
        <v>0</v>
      </c>
      <c r="Q90" s="312">
        <f t="shared" si="259"/>
        <v>0.52910052910052907</v>
      </c>
      <c r="R90" s="313">
        <f t="shared" si="167"/>
        <v>0.52910052910052907</v>
      </c>
      <c r="S90" s="311">
        <f t="shared" ref="S90:T90" si="260">(S9*S39)/12/21/7.5</f>
        <v>0</v>
      </c>
      <c r="T90" s="312">
        <f t="shared" si="260"/>
        <v>0.52910052910052907</v>
      </c>
      <c r="U90" s="313">
        <f t="shared" si="168"/>
        <v>0.52910052910052907</v>
      </c>
      <c r="V90" s="311">
        <f t="shared" ref="V90:W90" si="261">(V9*V39)/12/21/7.5</f>
        <v>0</v>
      </c>
      <c r="W90" s="312">
        <f t="shared" si="261"/>
        <v>0.52910052910052907</v>
      </c>
      <c r="X90" s="313">
        <f t="shared" si="169"/>
        <v>0.52910052910052907</v>
      </c>
      <c r="Y90" s="311">
        <f t="shared" ref="Y90:Z90" si="262">(Y9*Y39)/12/21/7.5</f>
        <v>0</v>
      </c>
      <c r="Z90" s="312">
        <f t="shared" si="262"/>
        <v>0.52910052910052907</v>
      </c>
      <c r="AA90" s="313">
        <f t="shared" si="170"/>
        <v>0.52910052910052907</v>
      </c>
      <c r="AB90" s="311">
        <f t="shared" ref="AB90:AC90" si="263">(AB9*AB39)/12/21/7.5</f>
        <v>0</v>
      </c>
      <c r="AC90" s="312">
        <f t="shared" si="263"/>
        <v>0.52910052910052907</v>
      </c>
      <c r="AD90" s="313">
        <f t="shared" si="171"/>
        <v>0.52910052910052907</v>
      </c>
      <c r="AE90" s="311">
        <f t="shared" ref="AE90:AF90" si="264">(AE9*AE39)/12/21/7.5</f>
        <v>0</v>
      </c>
      <c r="AF90" s="312">
        <f t="shared" si="264"/>
        <v>0.52910052910052907</v>
      </c>
      <c r="AG90" s="313">
        <f t="shared" si="172"/>
        <v>0.52910052910052907</v>
      </c>
      <c r="AH90" s="311">
        <f t="shared" ref="AH90:AI90" si="265">(AH9*AH39)/12/21/7.5</f>
        <v>0</v>
      </c>
      <c r="AI90" s="312">
        <f t="shared" si="265"/>
        <v>0.52910052910052907</v>
      </c>
      <c r="AJ90" s="313">
        <f t="shared" si="173"/>
        <v>0.52910052910052907</v>
      </c>
      <c r="AK90" s="311">
        <f t="shared" ref="AK90:AL90" si="266">(AK9*AK39)/12/21/7.5</f>
        <v>0</v>
      </c>
      <c r="AL90" s="312">
        <f t="shared" si="266"/>
        <v>0.52910052910052907</v>
      </c>
      <c r="AM90" s="313">
        <f t="shared" si="174"/>
        <v>0.52910052910052907</v>
      </c>
      <c r="AN90" s="311">
        <f t="shared" ref="AN90:AO90" si="267">(AN9*AN39)/12/21/7.5</f>
        <v>0</v>
      </c>
      <c r="AO90" s="312">
        <f t="shared" si="267"/>
        <v>0.52910052910052907</v>
      </c>
      <c r="AP90" s="313">
        <f t="shared" si="175"/>
        <v>0.52910052910052907</v>
      </c>
      <c r="AQ90" s="311">
        <f t="shared" ref="AQ90:AR90" si="268">(AQ9*AQ39)/12/21/7.5</f>
        <v>0</v>
      </c>
      <c r="AR90" s="312">
        <f t="shared" si="268"/>
        <v>0.52910052910052907</v>
      </c>
      <c r="AS90" s="313">
        <f t="shared" si="176"/>
        <v>0.52910052910052907</v>
      </c>
      <c r="AT90" s="311">
        <f t="shared" ref="AT90:AU90" si="269">(AT9*AT39)/12/21/7.5</f>
        <v>0</v>
      </c>
      <c r="AU90" s="312">
        <f t="shared" si="269"/>
        <v>0.52910052910052907</v>
      </c>
      <c r="AV90" s="313">
        <f t="shared" si="177"/>
        <v>0.52910052910052907</v>
      </c>
      <c r="AW90" s="311">
        <f t="shared" ref="AW90:AX90" si="270">(AW9*AW39)/12/21/7.5</f>
        <v>0</v>
      </c>
      <c r="AX90" s="312">
        <f t="shared" si="270"/>
        <v>0.52910052910052907</v>
      </c>
      <c r="AY90" s="313">
        <f t="shared" si="178"/>
        <v>0.52910052910052907</v>
      </c>
      <c r="AZ90" s="311">
        <f t="shared" ref="AZ90:BA90" si="271">(AZ9*AZ39)/12/21/7.5</f>
        <v>0</v>
      </c>
      <c r="BA90" s="312">
        <f t="shared" si="271"/>
        <v>0.52910052910052907</v>
      </c>
      <c r="BB90" s="313">
        <f t="shared" si="179"/>
        <v>0.52910052910052907</v>
      </c>
      <c r="BC90" s="311">
        <f t="shared" ref="BC90:BD90" si="272">(BC9*BC39)/12/21/7.5</f>
        <v>0</v>
      </c>
      <c r="BD90" s="312">
        <f t="shared" si="272"/>
        <v>0.52910052910052907</v>
      </c>
      <c r="BE90" s="313">
        <f t="shared" si="180"/>
        <v>0.52910052910052907</v>
      </c>
      <c r="BF90" s="311">
        <f t="shared" ref="BF90:BG90" si="273">(BF9*BF39)/12/21/7.5</f>
        <v>0</v>
      </c>
      <c r="BG90" s="312">
        <f t="shared" si="273"/>
        <v>0.52910052910052907</v>
      </c>
      <c r="BH90" s="313">
        <f t="shared" si="181"/>
        <v>0.52910052910052907</v>
      </c>
      <c r="BI90" s="311">
        <f t="shared" si="203"/>
        <v>0</v>
      </c>
      <c r="BJ90" s="312">
        <f t="shared" si="203"/>
        <v>0.52910052910052907</v>
      </c>
      <c r="BK90" s="313">
        <f t="shared" si="182"/>
        <v>0.52910052910052907</v>
      </c>
      <c r="BL90" s="311">
        <f t="shared" si="204"/>
        <v>0</v>
      </c>
      <c r="BM90" s="312">
        <f t="shared" si="204"/>
        <v>0.52910052910052907</v>
      </c>
      <c r="BN90" s="313">
        <f t="shared" si="183"/>
        <v>0.52910052910052907</v>
      </c>
      <c r="BO90" s="311">
        <f t="shared" si="205"/>
        <v>0</v>
      </c>
      <c r="BP90" s="312">
        <f t="shared" si="205"/>
        <v>0</v>
      </c>
      <c r="BQ90" s="313">
        <f t="shared" si="184"/>
        <v>0</v>
      </c>
    </row>
    <row r="91" spans="1:69">
      <c r="A91" s="676"/>
      <c r="B91" s="678"/>
      <c r="C91" s="290" t="s">
        <v>30</v>
      </c>
      <c r="D91" s="291">
        <f t="shared" si="161"/>
        <v>0</v>
      </c>
      <c r="E91" s="292">
        <f t="shared" si="162"/>
        <v>11.111111111111109</v>
      </c>
      <c r="F91" s="293">
        <f t="shared" si="163"/>
        <v>11.111111111111109</v>
      </c>
      <c r="G91" s="311">
        <f t="shared" si="185"/>
        <v>0</v>
      </c>
      <c r="H91" s="312">
        <f t="shared" si="185"/>
        <v>0.52910052910052907</v>
      </c>
      <c r="I91" s="313">
        <f t="shared" si="164"/>
        <v>0.52910052910052907</v>
      </c>
      <c r="J91" s="311">
        <f t="shared" ref="J91:K91" si="274">(J10*J40)/12/21/7.5</f>
        <v>0</v>
      </c>
      <c r="K91" s="312">
        <f t="shared" si="274"/>
        <v>0.52910052910052907</v>
      </c>
      <c r="L91" s="313">
        <f t="shared" si="165"/>
        <v>0.52910052910052907</v>
      </c>
      <c r="M91" s="311">
        <f t="shared" ref="M91:N91" si="275">(M10*M40)/12/21/7.5</f>
        <v>0</v>
      </c>
      <c r="N91" s="312">
        <f t="shared" si="275"/>
        <v>0.52910052910052907</v>
      </c>
      <c r="O91" s="313">
        <f t="shared" si="166"/>
        <v>0.52910052910052907</v>
      </c>
      <c r="P91" s="311">
        <f t="shared" ref="P91:Q91" si="276">(P10*P40)/12/21/7.5</f>
        <v>0</v>
      </c>
      <c r="Q91" s="312">
        <f t="shared" si="276"/>
        <v>0.52910052910052907</v>
      </c>
      <c r="R91" s="313">
        <f t="shared" si="167"/>
        <v>0.52910052910052907</v>
      </c>
      <c r="S91" s="311">
        <f t="shared" ref="S91:T91" si="277">(S10*S40)/12/21/7.5</f>
        <v>0</v>
      </c>
      <c r="T91" s="312">
        <f t="shared" si="277"/>
        <v>0.52910052910052907</v>
      </c>
      <c r="U91" s="313">
        <f t="shared" si="168"/>
        <v>0.52910052910052907</v>
      </c>
      <c r="V91" s="311">
        <f t="shared" ref="V91:W91" si="278">(V10*V40)/12/21/7.5</f>
        <v>0</v>
      </c>
      <c r="W91" s="312">
        <f t="shared" si="278"/>
        <v>0.52910052910052907</v>
      </c>
      <c r="X91" s="313">
        <f t="shared" si="169"/>
        <v>0.52910052910052907</v>
      </c>
      <c r="Y91" s="311">
        <f t="shared" ref="Y91:Z91" si="279">(Y10*Y40)/12/21/7.5</f>
        <v>0</v>
      </c>
      <c r="Z91" s="312">
        <f t="shared" si="279"/>
        <v>0.52910052910052907</v>
      </c>
      <c r="AA91" s="313">
        <f t="shared" si="170"/>
        <v>0.52910052910052907</v>
      </c>
      <c r="AB91" s="311">
        <f t="shared" ref="AB91:AC91" si="280">(AB10*AB40)/12/21/7.5</f>
        <v>0</v>
      </c>
      <c r="AC91" s="312">
        <f t="shared" si="280"/>
        <v>0.52910052910052907</v>
      </c>
      <c r="AD91" s="313">
        <f t="shared" si="171"/>
        <v>0.52910052910052907</v>
      </c>
      <c r="AE91" s="311">
        <f t="shared" ref="AE91:AF91" si="281">(AE10*AE40)/12/21/7.5</f>
        <v>0</v>
      </c>
      <c r="AF91" s="312">
        <f t="shared" si="281"/>
        <v>0.52910052910052907</v>
      </c>
      <c r="AG91" s="313">
        <f t="shared" si="172"/>
        <v>0.52910052910052907</v>
      </c>
      <c r="AH91" s="311">
        <f t="shared" ref="AH91:AI91" si="282">(AH10*AH40)/12/21/7.5</f>
        <v>0</v>
      </c>
      <c r="AI91" s="312">
        <f t="shared" si="282"/>
        <v>0.52910052910052907</v>
      </c>
      <c r="AJ91" s="313">
        <f t="shared" si="173"/>
        <v>0.52910052910052907</v>
      </c>
      <c r="AK91" s="311">
        <f t="shared" ref="AK91:AL91" si="283">(AK10*AK40)/12/21/7.5</f>
        <v>0</v>
      </c>
      <c r="AL91" s="312">
        <f t="shared" si="283"/>
        <v>0.52910052910052907</v>
      </c>
      <c r="AM91" s="313">
        <f t="shared" si="174"/>
        <v>0.52910052910052907</v>
      </c>
      <c r="AN91" s="311">
        <f t="shared" ref="AN91:AO91" si="284">(AN10*AN40)/12/21/7.5</f>
        <v>0</v>
      </c>
      <c r="AO91" s="312">
        <f t="shared" si="284"/>
        <v>0.52910052910052907</v>
      </c>
      <c r="AP91" s="313">
        <f t="shared" si="175"/>
        <v>0.52910052910052907</v>
      </c>
      <c r="AQ91" s="311">
        <f t="shared" ref="AQ91:AR91" si="285">(AQ10*AQ40)/12/21/7.5</f>
        <v>0</v>
      </c>
      <c r="AR91" s="312">
        <f t="shared" si="285"/>
        <v>0.52910052910052907</v>
      </c>
      <c r="AS91" s="313">
        <f t="shared" si="176"/>
        <v>0.52910052910052907</v>
      </c>
      <c r="AT91" s="311">
        <f t="shared" ref="AT91:AU91" si="286">(AT10*AT40)/12/21/7.5</f>
        <v>0</v>
      </c>
      <c r="AU91" s="312">
        <f t="shared" si="286"/>
        <v>0.52910052910052907</v>
      </c>
      <c r="AV91" s="313">
        <f t="shared" si="177"/>
        <v>0.52910052910052907</v>
      </c>
      <c r="AW91" s="311">
        <f t="shared" ref="AW91:AX91" si="287">(AW10*AW40)/12/21/7.5</f>
        <v>0</v>
      </c>
      <c r="AX91" s="312">
        <f t="shared" si="287"/>
        <v>0.52910052910052907</v>
      </c>
      <c r="AY91" s="313">
        <f t="shared" si="178"/>
        <v>0.52910052910052907</v>
      </c>
      <c r="AZ91" s="311">
        <f t="shared" ref="AZ91:BA91" si="288">(AZ10*AZ40)/12/21/7.5</f>
        <v>0</v>
      </c>
      <c r="BA91" s="312">
        <f t="shared" si="288"/>
        <v>0.52910052910052907</v>
      </c>
      <c r="BB91" s="313">
        <f t="shared" si="179"/>
        <v>0.52910052910052907</v>
      </c>
      <c r="BC91" s="311">
        <f t="shared" ref="BC91:BD91" si="289">(BC10*BC40)/12/21/7.5</f>
        <v>0</v>
      </c>
      <c r="BD91" s="312">
        <f t="shared" si="289"/>
        <v>0.52910052910052907</v>
      </c>
      <c r="BE91" s="313">
        <f t="shared" si="180"/>
        <v>0.52910052910052907</v>
      </c>
      <c r="BF91" s="311">
        <f t="shared" ref="BF91:BG91" si="290">(BF10*BF40)/12/21/7.5</f>
        <v>0</v>
      </c>
      <c r="BG91" s="312">
        <f t="shared" si="290"/>
        <v>0.52910052910052907</v>
      </c>
      <c r="BH91" s="313">
        <f t="shared" si="181"/>
        <v>0.52910052910052907</v>
      </c>
      <c r="BI91" s="311">
        <f t="shared" si="203"/>
        <v>0</v>
      </c>
      <c r="BJ91" s="312">
        <f t="shared" si="203"/>
        <v>0.52910052910052907</v>
      </c>
      <c r="BK91" s="313">
        <f t="shared" si="182"/>
        <v>0.52910052910052907</v>
      </c>
      <c r="BL91" s="311">
        <f t="shared" si="204"/>
        <v>0</v>
      </c>
      <c r="BM91" s="312">
        <f t="shared" si="204"/>
        <v>0.52910052910052907</v>
      </c>
      <c r="BN91" s="313">
        <f t="shared" si="183"/>
        <v>0.52910052910052907</v>
      </c>
      <c r="BO91" s="311">
        <f t="shared" si="205"/>
        <v>0</v>
      </c>
      <c r="BP91" s="312">
        <f t="shared" si="205"/>
        <v>0</v>
      </c>
      <c r="BQ91" s="313">
        <f t="shared" si="184"/>
        <v>0</v>
      </c>
    </row>
    <row r="92" spans="1:69">
      <c r="A92" s="676"/>
      <c r="B92" s="678"/>
      <c r="C92" s="290" t="s">
        <v>31</v>
      </c>
      <c r="D92" s="291">
        <f t="shared" si="161"/>
        <v>0</v>
      </c>
      <c r="E92" s="292">
        <f t="shared" si="162"/>
        <v>11.111111111111109</v>
      </c>
      <c r="F92" s="293">
        <f t="shared" si="163"/>
        <v>11.111111111111109</v>
      </c>
      <c r="G92" s="311">
        <f t="shared" si="185"/>
        <v>0</v>
      </c>
      <c r="H92" s="312">
        <f t="shared" si="185"/>
        <v>0.52910052910052907</v>
      </c>
      <c r="I92" s="313">
        <f t="shared" si="164"/>
        <v>0.52910052910052907</v>
      </c>
      <c r="J92" s="311">
        <f t="shared" ref="J92:K92" si="291">(J11*J41)/12/21/7.5</f>
        <v>0</v>
      </c>
      <c r="K92" s="312">
        <f t="shared" si="291"/>
        <v>0.52910052910052907</v>
      </c>
      <c r="L92" s="313">
        <f t="shared" si="165"/>
        <v>0.52910052910052907</v>
      </c>
      <c r="M92" s="311">
        <f t="shared" ref="M92:N92" si="292">(M11*M41)/12/21/7.5</f>
        <v>0</v>
      </c>
      <c r="N92" s="312">
        <f t="shared" si="292"/>
        <v>0.52910052910052907</v>
      </c>
      <c r="O92" s="313">
        <f t="shared" si="166"/>
        <v>0.52910052910052907</v>
      </c>
      <c r="P92" s="311">
        <f t="shared" ref="P92:Q92" si="293">(P11*P41)/12/21/7.5</f>
        <v>0</v>
      </c>
      <c r="Q92" s="312">
        <f t="shared" si="293"/>
        <v>0.52910052910052907</v>
      </c>
      <c r="R92" s="313">
        <f t="shared" si="167"/>
        <v>0.52910052910052907</v>
      </c>
      <c r="S92" s="311">
        <f t="shared" ref="S92:T92" si="294">(S11*S41)/12/21/7.5</f>
        <v>0</v>
      </c>
      <c r="T92" s="312">
        <f t="shared" si="294"/>
        <v>0.52910052910052907</v>
      </c>
      <c r="U92" s="313">
        <f t="shared" si="168"/>
        <v>0.52910052910052907</v>
      </c>
      <c r="V92" s="311">
        <f t="shared" ref="V92:W92" si="295">(V11*V41)/12/21/7.5</f>
        <v>0</v>
      </c>
      <c r="W92" s="312">
        <f t="shared" si="295"/>
        <v>0.52910052910052907</v>
      </c>
      <c r="X92" s="313">
        <f t="shared" si="169"/>
        <v>0.52910052910052907</v>
      </c>
      <c r="Y92" s="311">
        <f t="shared" ref="Y92:Z92" si="296">(Y11*Y41)/12/21/7.5</f>
        <v>0</v>
      </c>
      <c r="Z92" s="312">
        <f t="shared" si="296"/>
        <v>0.52910052910052907</v>
      </c>
      <c r="AA92" s="313">
        <f t="shared" si="170"/>
        <v>0.52910052910052907</v>
      </c>
      <c r="AB92" s="311">
        <f t="shared" ref="AB92:AC92" si="297">(AB11*AB41)/12/21/7.5</f>
        <v>0</v>
      </c>
      <c r="AC92" s="312">
        <f t="shared" si="297"/>
        <v>0.52910052910052907</v>
      </c>
      <c r="AD92" s="313">
        <f t="shared" si="171"/>
        <v>0.52910052910052907</v>
      </c>
      <c r="AE92" s="311">
        <f t="shared" ref="AE92:AF92" si="298">(AE11*AE41)/12/21/7.5</f>
        <v>0</v>
      </c>
      <c r="AF92" s="312">
        <f t="shared" si="298"/>
        <v>0.52910052910052907</v>
      </c>
      <c r="AG92" s="313">
        <f t="shared" si="172"/>
        <v>0.52910052910052907</v>
      </c>
      <c r="AH92" s="311">
        <f t="shared" ref="AH92:AI92" si="299">(AH11*AH41)/12/21/7.5</f>
        <v>0</v>
      </c>
      <c r="AI92" s="312">
        <f t="shared" si="299"/>
        <v>0.52910052910052907</v>
      </c>
      <c r="AJ92" s="313">
        <f t="shared" si="173"/>
        <v>0.52910052910052907</v>
      </c>
      <c r="AK92" s="311">
        <f t="shared" ref="AK92:AL92" si="300">(AK11*AK41)/12/21/7.5</f>
        <v>0</v>
      </c>
      <c r="AL92" s="312">
        <f t="shared" si="300"/>
        <v>0.52910052910052907</v>
      </c>
      <c r="AM92" s="313">
        <f t="shared" si="174"/>
        <v>0.52910052910052907</v>
      </c>
      <c r="AN92" s="311">
        <f t="shared" ref="AN92:AO92" si="301">(AN11*AN41)/12/21/7.5</f>
        <v>0</v>
      </c>
      <c r="AO92" s="312">
        <f t="shared" si="301"/>
        <v>0.52910052910052907</v>
      </c>
      <c r="AP92" s="313">
        <f t="shared" si="175"/>
        <v>0.52910052910052907</v>
      </c>
      <c r="AQ92" s="311">
        <f t="shared" ref="AQ92:AR92" si="302">(AQ11*AQ41)/12/21/7.5</f>
        <v>0</v>
      </c>
      <c r="AR92" s="312">
        <f t="shared" si="302"/>
        <v>0.52910052910052907</v>
      </c>
      <c r="AS92" s="313">
        <f t="shared" si="176"/>
        <v>0.52910052910052907</v>
      </c>
      <c r="AT92" s="311">
        <f t="shared" ref="AT92:AU92" si="303">(AT11*AT41)/12/21/7.5</f>
        <v>0</v>
      </c>
      <c r="AU92" s="312">
        <f t="shared" si="303"/>
        <v>0.52910052910052907</v>
      </c>
      <c r="AV92" s="313">
        <f t="shared" si="177"/>
        <v>0.52910052910052907</v>
      </c>
      <c r="AW92" s="311">
        <f t="shared" ref="AW92:AX92" si="304">(AW11*AW41)/12/21/7.5</f>
        <v>0</v>
      </c>
      <c r="AX92" s="312">
        <f t="shared" si="304"/>
        <v>0.52910052910052907</v>
      </c>
      <c r="AY92" s="313">
        <f t="shared" si="178"/>
        <v>0.52910052910052907</v>
      </c>
      <c r="AZ92" s="311">
        <f t="shared" ref="AZ92:BA92" si="305">(AZ11*AZ41)/12/21/7.5</f>
        <v>0</v>
      </c>
      <c r="BA92" s="312">
        <f t="shared" si="305"/>
        <v>0.52910052910052907</v>
      </c>
      <c r="BB92" s="313">
        <f t="shared" si="179"/>
        <v>0.52910052910052907</v>
      </c>
      <c r="BC92" s="311">
        <f t="shared" ref="BC92:BD92" si="306">(BC11*BC41)/12/21/7.5</f>
        <v>0</v>
      </c>
      <c r="BD92" s="312">
        <f t="shared" si="306"/>
        <v>0.52910052910052907</v>
      </c>
      <c r="BE92" s="313">
        <f t="shared" si="180"/>
        <v>0.52910052910052907</v>
      </c>
      <c r="BF92" s="311">
        <f t="shared" ref="BF92:BG92" si="307">(BF11*BF41)/12/21/7.5</f>
        <v>0</v>
      </c>
      <c r="BG92" s="312">
        <f t="shared" si="307"/>
        <v>0.52910052910052907</v>
      </c>
      <c r="BH92" s="313">
        <f t="shared" si="181"/>
        <v>0.52910052910052907</v>
      </c>
      <c r="BI92" s="311">
        <f t="shared" si="203"/>
        <v>0</v>
      </c>
      <c r="BJ92" s="312">
        <f t="shared" si="203"/>
        <v>0.52910052910052907</v>
      </c>
      <c r="BK92" s="313">
        <f t="shared" si="182"/>
        <v>0.52910052910052907</v>
      </c>
      <c r="BL92" s="311">
        <f t="shared" si="204"/>
        <v>0</v>
      </c>
      <c r="BM92" s="312">
        <f t="shared" si="204"/>
        <v>0.52910052910052907</v>
      </c>
      <c r="BN92" s="313">
        <f t="shared" si="183"/>
        <v>0.52910052910052907</v>
      </c>
      <c r="BO92" s="311">
        <f t="shared" si="205"/>
        <v>0</v>
      </c>
      <c r="BP92" s="312">
        <f t="shared" si="205"/>
        <v>0</v>
      </c>
      <c r="BQ92" s="313">
        <f t="shared" si="184"/>
        <v>0</v>
      </c>
    </row>
    <row r="93" spans="1:69">
      <c r="A93" s="676"/>
      <c r="B93" s="678"/>
      <c r="C93" s="290" t="s">
        <v>32</v>
      </c>
      <c r="D93" s="291">
        <f t="shared" si="161"/>
        <v>0</v>
      </c>
      <c r="E93" s="292">
        <f t="shared" si="162"/>
        <v>11.111111111111109</v>
      </c>
      <c r="F93" s="293">
        <f t="shared" si="163"/>
        <v>11.111111111111109</v>
      </c>
      <c r="G93" s="311">
        <f t="shared" si="185"/>
        <v>0</v>
      </c>
      <c r="H93" s="312">
        <f t="shared" si="185"/>
        <v>0.52910052910052907</v>
      </c>
      <c r="I93" s="313">
        <f t="shared" si="164"/>
        <v>0.52910052910052907</v>
      </c>
      <c r="J93" s="311">
        <f t="shared" ref="J93:K93" si="308">(J12*J42)/12/21/7.5</f>
        <v>0</v>
      </c>
      <c r="K93" s="312">
        <f t="shared" si="308"/>
        <v>0.52910052910052907</v>
      </c>
      <c r="L93" s="313">
        <f t="shared" si="165"/>
        <v>0.52910052910052907</v>
      </c>
      <c r="M93" s="311">
        <f t="shared" ref="M93:N93" si="309">(M12*M42)/12/21/7.5</f>
        <v>0</v>
      </c>
      <c r="N93" s="312">
        <f t="shared" si="309"/>
        <v>0.52910052910052907</v>
      </c>
      <c r="O93" s="313">
        <f t="shared" si="166"/>
        <v>0.52910052910052907</v>
      </c>
      <c r="P93" s="311">
        <f t="shared" ref="P93:Q93" si="310">(P12*P42)/12/21/7.5</f>
        <v>0</v>
      </c>
      <c r="Q93" s="312">
        <f t="shared" si="310"/>
        <v>0.52910052910052907</v>
      </c>
      <c r="R93" s="313">
        <f t="shared" si="167"/>
        <v>0.52910052910052907</v>
      </c>
      <c r="S93" s="311">
        <f t="shared" ref="S93:T93" si="311">(S12*S42)/12/21/7.5</f>
        <v>0</v>
      </c>
      <c r="T93" s="312">
        <f t="shared" si="311"/>
        <v>0.52910052910052907</v>
      </c>
      <c r="U93" s="313">
        <f t="shared" si="168"/>
        <v>0.52910052910052907</v>
      </c>
      <c r="V93" s="311">
        <f t="shared" ref="V93:W93" si="312">(V12*V42)/12/21/7.5</f>
        <v>0</v>
      </c>
      <c r="W93" s="312">
        <f t="shared" si="312"/>
        <v>0.52910052910052907</v>
      </c>
      <c r="X93" s="313">
        <f t="shared" si="169"/>
        <v>0.52910052910052907</v>
      </c>
      <c r="Y93" s="311">
        <f t="shared" ref="Y93:Z93" si="313">(Y12*Y42)/12/21/7.5</f>
        <v>0</v>
      </c>
      <c r="Z93" s="312">
        <f t="shared" si="313"/>
        <v>0.52910052910052907</v>
      </c>
      <c r="AA93" s="313">
        <f t="shared" si="170"/>
        <v>0.52910052910052907</v>
      </c>
      <c r="AB93" s="311">
        <f t="shared" ref="AB93:AC93" si="314">(AB12*AB42)/12/21/7.5</f>
        <v>0</v>
      </c>
      <c r="AC93" s="312">
        <f t="shared" si="314"/>
        <v>0.52910052910052907</v>
      </c>
      <c r="AD93" s="313">
        <f t="shared" si="171"/>
        <v>0.52910052910052907</v>
      </c>
      <c r="AE93" s="311">
        <f t="shared" ref="AE93:AF93" si="315">(AE12*AE42)/12/21/7.5</f>
        <v>0</v>
      </c>
      <c r="AF93" s="312">
        <f t="shared" si="315"/>
        <v>0.52910052910052907</v>
      </c>
      <c r="AG93" s="313">
        <f t="shared" si="172"/>
        <v>0.52910052910052907</v>
      </c>
      <c r="AH93" s="311">
        <f t="shared" ref="AH93:AI93" si="316">(AH12*AH42)/12/21/7.5</f>
        <v>0</v>
      </c>
      <c r="AI93" s="312">
        <f t="shared" si="316"/>
        <v>0.52910052910052907</v>
      </c>
      <c r="AJ93" s="313">
        <f t="shared" si="173"/>
        <v>0.52910052910052907</v>
      </c>
      <c r="AK93" s="311">
        <f t="shared" ref="AK93:AL93" si="317">(AK12*AK42)/12/21/7.5</f>
        <v>0</v>
      </c>
      <c r="AL93" s="312">
        <f t="shared" si="317"/>
        <v>0.52910052910052907</v>
      </c>
      <c r="AM93" s="313">
        <f t="shared" si="174"/>
        <v>0.52910052910052907</v>
      </c>
      <c r="AN93" s="311">
        <f t="shared" ref="AN93:AO93" si="318">(AN12*AN42)/12/21/7.5</f>
        <v>0</v>
      </c>
      <c r="AO93" s="312">
        <f t="shared" si="318"/>
        <v>0.52910052910052907</v>
      </c>
      <c r="AP93" s="313">
        <f t="shared" si="175"/>
        <v>0.52910052910052907</v>
      </c>
      <c r="AQ93" s="311">
        <f t="shared" ref="AQ93:AR93" si="319">(AQ12*AQ42)/12/21/7.5</f>
        <v>0</v>
      </c>
      <c r="AR93" s="312">
        <f t="shared" si="319"/>
        <v>0.52910052910052907</v>
      </c>
      <c r="AS93" s="313">
        <f t="shared" si="176"/>
        <v>0.52910052910052907</v>
      </c>
      <c r="AT93" s="311">
        <f t="shared" ref="AT93:AU93" si="320">(AT12*AT42)/12/21/7.5</f>
        <v>0</v>
      </c>
      <c r="AU93" s="312">
        <f t="shared" si="320"/>
        <v>0.52910052910052907</v>
      </c>
      <c r="AV93" s="313">
        <f t="shared" si="177"/>
        <v>0.52910052910052907</v>
      </c>
      <c r="AW93" s="311">
        <f t="shared" ref="AW93:AX93" si="321">(AW12*AW42)/12/21/7.5</f>
        <v>0</v>
      </c>
      <c r="AX93" s="312">
        <f t="shared" si="321"/>
        <v>0.52910052910052907</v>
      </c>
      <c r="AY93" s="313">
        <f t="shared" si="178"/>
        <v>0.52910052910052907</v>
      </c>
      <c r="AZ93" s="311">
        <f t="shared" ref="AZ93:BA93" si="322">(AZ12*AZ42)/12/21/7.5</f>
        <v>0</v>
      </c>
      <c r="BA93" s="312">
        <f t="shared" si="322"/>
        <v>0.52910052910052907</v>
      </c>
      <c r="BB93" s="313">
        <f t="shared" si="179"/>
        <v>0.52910052910052907</v>
      </c>
      <c r="BC93" s="311">
        <f t="shared" ref="BC93:BD93" si="323">(BC12*BC42)/12/21/7.5</f>
        <v>0</v>
      </c>
      <c r="BD93" s="312">
        <f t="shared" si="323"/>
        <v>0.52910052910052907</v>
      </c>
      <c r="BE93" s="313">
        <f t="shared" si="180"/>
        <v>0.52910052910052907</v>
      </c>
      <c r="BF93" s="311">
        <f t="shared" ref="BF93:BG93" si="324">(BF12*BF42)/12/21/7.5</f>
        <v>0</v>
      </c>
      <c r="BG93" s="312">
        <f t="shared" si="324"/>
        <v>0.52910052910052907</v>
      </c>
      <c r="BH93" s="313">
        <f t="shared" si="181"/>
        <v>0.52910052910052907</v>
      </c>
      <c r="BI93" s="311">
        <f t="shared" si="203"/>
        <v>0</v>
      </c>
      <c r="BJ93" s="312">
        <f t="shared" si="203"/>
        <v>0.52910052910052907</v>
      </c>
      <c r="BK93" s="313">
        <f t="shared" si="182"/>
        <v>0.52910052910052907</v>
      </c>
      <c r="BL93" s="311">
        <f t="shared" si="204"/>
        <v>0</v>
      </c>
      <c r="BM93" s="312">
        <f t="shared" si="204"/>
        <v>0.52910052910052907</v>
      </c>
      <c r="BN93" s="313">
        <f t="shared" si="183"/>
        <v>0.52910052910052907</v>
      </c>
      <c r="BO93" s="311">
        <f t="shared" si="205"/>
        <v>0</v>
      </c>
      <c r="BP93" s="312">
        <f t="shared" si="205"/>
        <v>0</v>
      </c>
      <c r="BQ93" s="313">
        <f t="shared" si="184"/>
        <v>0</v>
      </c>
    </row>
    <row r="94" spans="1:69">
      <c r="A94" s="676"/>
      <c r="B94" s="678"/>
      <c r="C94" s="290" t="s">
        <v>33</v>
      </c>
      <c r="D94" s="291">
        <f t="shared" si="161"/>
        <v>0</v>
      </c>
      <c r="E94" s="292">
        <f t="shared" si="162"/>
        <v>11.111111111111109</v>
      </c>
      <c r="F94" s="293">
        <f t="shared" si="163"/>
        <v>11.111111111111109</v>
      </c>
      <c r="G94" s="311">
        <f t="shared" si="185"/>
        <v>0</v>
      </c>
      <c r="H94" s="312">
        <f t="shared" si="185"/>
        <v>0.52910052910052907</v>
      </c>
      <c r="I94" s="313">
        <f t="shared" si="164"/>
        <v>0.52910052910052907</v>
      </c>
      <c r="J94" s="311">
        <f t="shared" ref="J94:K94" si="325">(J13*J43)/12/21/7.5</f>
        <v>0</v>
      </c>
      <c r="K94" s="312">
        <f t="shared" si="325"/>
        <v>0.52910052910052907</v>
      </c>
      <c r="L94" s="313">
        <f t="shared" si="165"/>
        <v>0.52910052910052907</v>
      </c>
      <c r="M94" s="311">
        <f t="shared" ref="M94:N94" si="326">(M13*M43)/12/21/7.5</f>
        <v>0</v>
      </c>
      <c r="N94" s="312">
        <f t="shared" si="326"/>
        <v>0.52910052910052907</v>
      </c>
      <c r="O94" s="313">
        <f t="shared" si="166"/>
        <v>0.52910052910052907</v>
      </c>
      <c r="P94" s="311">
        <f t="shared" ref="P94:Q94" si="327">(P13*P43)/12/21/7.5</f>
        <v>0</v>
      </c>
      <c r="Q94" s="312">
        <f t="shared" si="327"/>
        <v>0.52910052910052907</v>
      </c>
      <c r="R94" s="313">
        <f t="shared" si="167"/>
        <v>0.52910052910052907</v>
      </c>
      <c r="S94" s="311">
        <f t="shared" ref="S94:T94" si="328">(S13*S43)/12/21/7.5</f>
        <v>0</v>
      </c>
      <c r="T94" s="312">
        <f t="shared" si="328"/>
        <v>0.52910052910052907</v>
      </c>
      <c r="U94" s="313">
        <f t="shared" si="168"/>
        <v>0.52910052910052907</v>
      </c>
      <c r="V94" s="311">
        <f t="shared" ref="V94:W94" si="329">(V13*V43)/12/21/7.5</f>
        <v>0</v>
      </c>
      <c r="W94" s="312">
        <f t="shared" si="329"/>
        <v>0.52910052910052907</v>
      </c>
      <c r="X94" s="313">
        <f t="shared" si="169"/>
        <v>0.52910052910052907</v>
      </c>
      <c r="Y94" s="311">
        <f t="shared" ref="Y94:Z94" si="330">(Y13*Y43)/12/21/7.5</f>
        <v>0</v>
      </c>
      <c r="Z94" s="312">
        <f t="shared" si="330"/>
        <v>0.52910052910052907</v>
      </c>
      <c r="AA94" s="313">
        <f t="shared" si="170"/>
        <v>0.52910052910052907</v>
      </c>
      <c r="AB94" s="311">
        <f t="shared" ref="AB94:AC94" si="331">(AB13*AB43)/12/21/7.5</f>
        <v>0</v>
      </c>
      <c r="AC94" s="312">
        <f t="shared" si="331"/>
        <v>0.52910052910052907</v>
      </c>
      <c r="AD94" s="313">
        <f t="shared" si="171"/>
        <v>0.52910052910052907</v>
      </c>
      <c r="AE94" s="311">
        <f t="shared" ref="AE94:AF94" si="332">(AE13*AE43)/12/21/7.5</f>
        <v>0</v>
      </c>
      <c r="AF94" s="312">
        <f t="shared" si="332"/>
        <v>0.52910052910052907</v>
      </c>
      <c r="AG94" s="313">
        <f t="shared" si="172"/>
        <v>0.52910052910052907</v>
      </c>
      <c r="AH94" s="311">
        <f t="shared" ref="AH94:AI94" si="333">(AH13*AH43)/12/21/7.5</f>
        <v>0</v>
      </c>
      <c r="AI94" s="312">
        <f t="shared" si="333"/>
        <v>0.52910052910052907</v>
      </c>
      <c r="AJ94" s="313">
        <f t="shared" si="173"/>
        <v>0.52910052910052907</v>
      </c>
      <c r="AK94" s="311">
        <f t="shared" ref="AK94:AL94" si="334">(AK13*AK43)/12/21/7.5</f>
        <v>0</v>
      </c>
      <c r="AL94" s="312">
        <f t="shared" si="334"/>
        <v>0.52910052910052907</v>
      </c>
      <c r="AM94" s="313">
        <f t="shared" si="174"/>
        <v>0.52910052910052907</v>
      </c>
      <c r="AN94" s="311">
        <f t="shared" ref="AN94:AO94" si="335">(AN13*AN43)/12/21/7.5</f>
        <v>0</v>
      </c>
      <c r="AO94" s="312">
        <f t="shared" si="335"/>
        <v>0.52910052910052907</v>
      </c>
      <c r="AP94" s="313">
        <f t="shared" si="175"/>
        <v>0.52910052910052907</v>
      </c>
      <c r="AQ94" s="311">
        <f t="shared" ref="AQ94:AR94" si="336">(AQ13*AQ43)/12/21/7.5</f>
        <v>0</v>
      </c>
      <c r="AR94" s="312">
        <f t="shared" si="336"/>
        <v>0.52910052910052907</v>
      </c>
      <c r="AS94" s="313">
        <f t="shared" si="176"/>
        <v>0.52910052910052907</v>
      </c>
      <c r="AT94" s="311">
        <f t="shared" ref="AT94:AU94" si="337">(AT13*AT43)/12/21/7.5</f>
        <v>0</v>
      </c>
      <c r="AU94" s="312">
        <f t="shared" si="337"/>
        <v>0.52910052910052907</v>
      </c>
      <c r="AV94" s="313">
        <f t="shared" si="177"/>
        <v>0.52910052910052907</v>
      </c>
      <c r="AW94" s="311">
        <f t="shared" ref="AW94:AX94" si="338">(AW13*AW43)/12/21/7.5</f>
        <v>0</v>
      </c>
      <c r="AX94" s="312">
        <f t="shared" si="338"/>
        <v>0.52910052910052907</v>
      </c>
      <c r="AY94" s="313">
        <f t="shared" si="178"/>
        <v>0.52910052910052907</v>
      </c>
      <c r="AZ94" s="311">
        <f t="shared" ref="AZ94:BA94" si="339">(AZ13*AZ43)/12/21/7.5</f>
        <v>0</v>
      </c>
      <c r="BA94" s="312">
        <f t="shared" si="339"/>
        <v>0.52910052910052907</v>
      </c>
      <c r="BB94" s="313">
        <f t="shared" si="179"/>
        <v>0.52910052910052907</v>
      </c>
      <c r="BC94" s="311">
        <f t="shared" ref="BC94:BD94" si="340">(BC13*BC43)/12/21/7.5</f>
        <v>0</v>
      </c>
      <c r="BD94" s="312">
        <f t="shared" si="340"/>
        <v>0.52910052910052907</v>
      </c>
      <c r="BE94" s="313">
        <f t="shared" si="180"/>
        <v>0.52910052910052907</v>
      </c>
      <c r="BF94" s="311">
        <f t="shared" ref="BF94:BG94" si="341">(BF13*BF43)/12/21/7.5</f>
        <v>0</v>
      </c>
      <c r="BG94" s="312">
        <f t="shared" si="341"/>
        <v>0.52910052910052907</v>
      </c>
      <c r="BH94" s="313">
        <f t="shared" si="181"/>
        <v>0.52910052910052907</v>
      </c>
      <c r="BI94" s="311">
        <f t="shared" si="203"/>
        <v>0</v>
      </c>
      <c r="BJ94" s="312">
        <f t="shared" si="203"/>
        <v>0.52910052910052907</v>
      </c>
      <c r="BK94" s="313">
        <f t="shared" si="182"/>
        <v>0.52910052910052907</v>
      </c>
      <c r="BL94" s="311">
        <f t="shared" si="204"/>
        <v>0</v>
      </c>
      <c r="BM94" s="312">
        <f t="shared" si="204"/>
        <v>0.52910052910052907</v>
      </c>
      <c r="BN94" s="313">
        <f t="shared" si="183"/>
        <v>0.52910052910052907</v>
      </c>
      <c r="BO94" s="311">
        <f t="shared" si="205"/>
        <v>0</v>
      </c>
      <c r="BP94" s="312">
        <f t="shared" si="205"/>
        <v>0</v>
      </c>
      <c r="BQ94" s="313">
        <f t="shared" si="184"/>
        <v>0</v>
      </c>
    </row>
    <row r="95" spans="1:69" ht="15.75" thickBot="1">
      <c r="A95" s="677"/>
      <c r="B95" s="679"/>
      <c r="C95" s="300" t="s">
        <v>34</v>
      </c>
      <c r="D95" s="301">
        <f t="shared" si="161"/>
        <v>0</v>
      </c>
      <c r="E95" s="302">
        <f t="shared" si="162"/>
        <v>11.111111111111109</v>
      </c>
      <c r="F95" s="303">
        <f t="shared" si="163"/>
        <v>11.111111111111109</v>
      </c>
      <c r="G95" s="314">
        <f t="shared" si="185"/>
        <v>0</v>
      </c>
      <c r="H95" s="315">
        <f t="shared" si="185"/>
        <v>0.52910052910052907</v>
      </c>
      <c r="I95" s="316">
        <f t="shared" si="164"/>
        <v>0.52910052910052907</v>
      </c>
      <c r="J95" s="314">
        <f t="shared" ref="J95:K95" si="342">(J14*J44)/12/21/7.5</f>
        <v>0</v>
      </c>
      <c r="K95" s="315">
        <f t="shared" si="342"/>
        <v>0.52910052910052907</v>
      </c>
      <c r="L95" s="316">
        <f t="shared" si="165"/>
        <v>0.52910052910052907</v>
      </c>
      <c r="M95" s="314">
        <f t="shared" ref="M95:N95" si="343">(M14*M44)/12/21/7.5</f>
        <v>0</v>
      </c>
      <c r="N95" s="315">
        <f t="shared" si="343"/>
        <v>0.52910052910052907</v>
      </c>
      <c r="O95" s="316">
        <f t="shared" si="166"/>
        <v>0.52910052910052907</v>
      </c>
      <c r="P95" s="314">
        <f t="shared" ref="P95:Q95" si="344">(P14*P44)/12/21/7.5</f>
        <v>0</v>
      </c>
      <c r="Q95" s="315">
        <f t="shared" si="344"/>
        <v>0.52910052910052907</v>
      </c>
      <c r="R95" s="316">
        <f t="shared" si="167"/>
        <v>0.52910052910052907</v>
      </c>
      <c r="S95" s="314">
        <f t="shared" ref="S95:T95" si="345">(S14*S44)/12/21/7.5</f>
        <v>0</v>
      </c>
      <c r="T95" s="315">
        <f t="shared" si="345"/>
        <v>0.52910052910052907</v>
      </c>
      <c r="U95" s="316">
        <f t="shared" si="168"/>
        <v>0.52910052910052907</v>
      </c>
      <c r="V95" s="314">
        <f t="shared" ref="V95:W95" si="346">(V14*V44)/12/21/7.5</f>
        <v>0</v>
      </c>
      <c r="W95" s="315">
        <f t="shared" si="346"/>
        <v>0.52910052910052907</v>
      </c>
      <c r="X95" s="316">
        <f t="shared" si="169"/>
        <v>0.52910052910052907</v>
      </c>
      <c r="Y95" s="314">
        <f t="shared" ref="Y95:Z95" si="347">(Y14*Y44)/12/21/7.5</f>
        <v>0</v>
      </c>
      <c r="Z95" s="315">
        <f t="shared" si="347"/>
        <v>0.52910052910052907</v>
      </c>
      <c r="AA95" s="316">
        <f t="shared" si="170"/>
        <v>0.52910052910052907</v>
      </c>
      <c r="AB95" s="314">
        <f t="shared" ref="AB95:AC95" si="348">(AB14*AB44)/12/21/7.5</f>
        <v>0</v>
      </c>
      <c r="AC95" s="315">
        <f t="shared" si="348"/>
        <v>0.52910052910052907</v>
      </c>
      <c r="AD95" s="316">
        <f t="shared" si="171"/>
        <v>0.52910052910052907</v>
      </c>
      <c r="AE95" s="314">
        <f t="shared" ref="AE95:AF95" si="349">(AE14*AE44)/12/21/7.5</f>
        <v>0</v>
      </c>
      <c r="AF95" s="315">
        <f t="shared" si="349"/>
        <v>0.52910052910052907</v>
      </c>
      <c r="AG95" s="316">
        <f t="shared" si="172"/>
        <v>0.52910052910052907</v>
      </c>
      <c r="AH95" s="314">
        <f t="shared" ref="AH95:AI95" si="350">(AH14*AH44)/12/21/7.5</f>
        <v>0</v>
      </c>
      <c r="AI95" s="315">
        <f t="shared" si="350"/>
        <v>0.52910052910052907</v>
      </c>
      <c r="AJ95" s="316">
        <f t="shared" si="173"/>
        <v>0.52910052910052907</v>
      </c>
      <c r="AK95" s="314">
        <f t="shared" ref="AK95:AL95" si="351">(AK14*AK44)/12/21/7.5</f>
        <v>0</v>
      </c>
      <c r="AL95" s="315">
        <f t="shared" si="351"/>
        <v>0.52910052910052907</v>
      </c>
      <c r="AM95" s="316">
        <f t="shared" si="174"/>
        <v>0.52910052910052907</v>
      </c>
      <c r="AN95" s="314">
        <f t="shared" ref="AN95:AO95" si="352">(AN14*AN44)/12/21/7.5</f>
        <v>0</v>
      </c>
      <c r="AO95" s="315">
        <f t="shared" si="352"/>
        <v>0.52910052910052907</v>
      </c>
      <c r="AP95" s="316">
        <f t="shared" si="175"/>
        <v>0.52910052910052907</v>
      </c>
      <c r="AQ95" s="314">
        <f t="shared" ref="AQ95:AR95" si="353">(AQ14*AQ44)/12/21/7.5</f>
        <v>0</v>
      </c>
      <c r="AR95" s="315">
        <f t="shared" si="353"/>
        <v>0.52910052910052907</v>
      </c>
      <c r="AS95" s="316">
        <f t="shared" si="176"/>
        <v>0.52910052910052907</v>
      </c>
      <c r="AT95" s="314">
        <f t="shared" ref="AT95:AU95" si="354">(AT14*AT44)/12/21/7.5</f>
        <v>0</v>
      </c>
      <c r="AU95" s="315">
        <f t="shared" si="354"/>
        <v>0.52910052910052907</v>
      </c>
      <c r="AV95" s="316">
        <f t="shared" si="177"/>
        <v>0.52910052910052907</v>
      </c>
      <c r="AW95" s="314">
        <f t="shared" ref="AW95:AX95" si="355">(AW14*AW44)/12/21/7.5</f>
        <v>0</v>
      </c>
      <c r="AX95" s="315">
        <f t="shared" si="355"/>
        <v>0.52910052910052907</v>
      </c>
      <c r="AY95" s="316">
        <f t="shared" si="178"/>
        <v>0.52910052910052907</v>
      </c>
      <c r="AZ95" s="314">
        <f t="shared" ref="AZ95:BA95" si="356">(AZ14*AZ44)/12/21/7.5</f>
        <v>0</v>
      </c>
      <c r="BA95" s="315">
        <f t="shared" si="356"/>
        <v>0.52910052910052907</v>
      </c>
      <c r="BB95" s="316">
        <f t="shared" si="179"/>
        <v>0.52910052910052907</v>
      </c>
      <c r="BC95" s="314">
        <f t="shared" ref="BC95:BD95" si="357">(BC14*BC44)/12/21/7.5</f>
        <v>0</v>
      </c>
      <c r="BD95" s="315">
        <f t="shared" si="357"/>
        <v>0.52910052910052907</v>
      </c>
      <c r="BE95" s="316">
        <f t="shared" si="180"/>
        <v>0.52910052910052907</v>
      </c>
      <c r="BF95" s="314">
        <f t="shared" ref="BF95:BG95" si="358">(BF14*BF44)/12/21/7.5</f>
        <v>0</v>
      </c>
      <c r="BG95" s="315">
        <f t="shared" si="358"/>
        <v>0.52910052910052907</v>
      </c>
      <c r="BH95" s="316">
        <f t="shared" si="181"/>
        <v>0.52910052910052907</v>
      </c>
      <c r="BI95" s="314">
        <f t="shared" si="203"/>
        <v>0</v>
      </c>
      <c r="BJ95" s="315">
        <f t="shared" si="203"/>
        <v>0.52910052910052907</v>
      </c>
      <c r="BK95" s="316">
        <f t="shared" si="182"/>
        <v>0.52910052910052907</v>
      </c>
      <c r="BL95" s="314">
        <f t="shared" si="204"/>
        <v>0</v>
      </c>
      <c r="BM95" s="315">
        <f t="shared" si="204"/>
        <v>0.52910052910052907</v>
      </c>
      <c r="BN95" s="316">
        <f t="shared" si="183"/>
        <v>0.52910052910052907</v>
      </c>
      <c r="BO95" s="314">
        <f t="shared" si="205"/>
        <v>0</v>
      </c>
      <c r="BP95" s="315">
        <f t="shared" si="205"/>
        <v>0</v>
      </c>
      <c r="BQ95" s="316">
        <f t="shared" si="184"/>
        <v>0</v>
      </c>
    </row>
    <row r="96" spans="1:69">
      <c r="A96" s="676" t="s">
        <v>147</v>
      </c>
      <c r="B96" s="678" t="s">
        <v>13</v>
      </c>
      <c r="C96" s="290" t="s">
        <v>25</v>
      </c>
      <c r="D96" s="291">
        <f t="shared" ref="D96:D111" si="359">SUM(G96,J96,M96,P96,S96,V96,Y96,AB96,AE96,AH96,AK96,AN96,AQ96,AT96,AW96,AZ96,AZ96,BC96,BF96,BI96,BL96,BO96)</f>
        <v>0</v>
      </c>
      <c r="E96" s="292">
        <f t="shared" si="162"/>
        <v>0</v>
      </c>
      <c r="F96" s="293">
        <f t="shared" si="163"/>
        <v>0</v>
      </c>
      <c r="G96" s="306">
        <v>0</v>
      </c>
      <c r="H96" s="307">
        <f>(G66+I66/2)*((G45-H45)*(1+$BR$45))*Faktory!$D$10</f>
        <v>0</v>
      </c>
      <c r="I96" s="257">
        <f>H96</f>
        <v>0</v>
      </c>
      <c r="J96" s="306">
        <v>0</v>
      </c>
      <c r="K96" s="307">
        <f>(J66+L66/2)*((J45-K45)*(1+$BR$45))*Faktory!$D$10</f>
        <v>0</v>
      </c>
      <c r="L96" s="257">
        <f>K96</f>
        <v>0</v>
      </c>
      <c r="M96" s="306">
        <v>0</v>
      </c>
      <c r="N96" s="307">
        <f>(M66+O66/2)*((M45-N45)*(1+$BR$45))*Faktory!$D$10</f>
        <v>0</v>
      </c>
      <c r="O96" s="257">
        <f>N96</f>
        <v>0</v>
      </c>
      <c r="P96" s="306">
        <v>0</v>
      </c>
      <c r="Q96" s="307">
        <f>(P66+R66/2)*((P45-Q45)*(1+$BR$45))*Faktory!$D$10</f>
        <v>0</v>
      </c>
      <c r="R96" s="257">
        <f>Q96</f>
        <v>0</v>
      </c>
      <c r="S96" s="306">
        <v>0</v>
      </c>
      <c r="T96" s="307">
        <f>(S66+U66/2)*((S45-T45)*(1+$BR$45))*Faktory!$D$10</f>
        <v>0</v>
      </c>
      <c r="U96" s="257">
        <f>T96</f>
        <v>0</v>
      </c>
      <c r="V96" s="306">
        <v>0</v>
      </c>
      <c r="W96" s="307">
        <f>(V66+X66/2)*((V45-W45)*(1+$BR$45))*Faktory!$D$10</f>
        <v>0</v>
      </c>
      <c r="X96" s="257">
        <f>W96</f>
        <v>0</v>
      </c>
      <c r="Y96" s="306">
        <v>0</v>
      </c>
      <c r="Z96" s="307">
        <f>(Y66+AA66/2)*((Y45-Z45)*(1+$BR$45))*Faktory!$D$10</f>
        <v>0</v>
      </c>
      <c r="AA96" s="257">
        <f>Z96</f>
        <v>0</v>
      </c>
      <c r="AB96" s="306">
        <v>0</v>
      </c>
      <c r="AC96" s="307">
        <f>(AB66+AD66/2)*((AB45-AC45)*(1+$BR$45))*Faktory!$D$10</f>
        <v>0</v>
      </c>
      <c r="AD96" s="257">
        <f>AC96</f>
        <v>0</v>
      </c>
      <c r="AE96" s="306">
        <v>0</v>
      </c>
      <c r="AF96" s="307">
        <f>(AE66+AG66/2)*((AE45-AF45)*(1+$BR$45))*Faktory!$D$10</f>
        <v>0</v>
      </c>
      <c r="AG96" s="257">
        <f>AF96</f>
        <v>0</v>
      </c>
      <c r="AH96" s="306">
        <v>0</v>
      </c>
      <c r="AI96" s="307">
        <f>(AH66+AJ66/2)*((AH45-AI45)*(1+$BR$45))*Faktory!$D$10</f>
        <v>0</v>
      </c>
      <c r="AJ96" s="257">
        <f>AI96</f>
        <v>0</v>
      </c>
      <c r="AK96" s="306">
        <v>0</v>
      </c>
      <c r="AL96" s="307">
        <f>(AK66+AM66/2)*((AK45-AL45)*(1+$BR$45))*Faktory!$D$10</f>
        <v>0</v>
      </c>
      <c r="AM96" s="257">
        <f>AL96</f>
        <v>0</v>
      </c>
      <c r="AN96" s="306">
        <v>0</v>
      </c>
      <c r="AO96" s="307">
        <f>(AN66+AP66/2)*((AN45-AO45)*(1+$BR$45))*Faktory!$D$10</f>
        <v>0</v>
      </c>
      <c r="AP96" s="257">
        <f>AO96</f>
        <v>0</v>
      </c>
      <c r="AQ96" s="306">
        <v>0</v>
      </c>
      <c r="AR96" s="307">
        <f>(AQ66+AS66/2)*((AQ45-AR45)*(1+$BR$45))*Faktory!$D$10</f>
        <v>0</v>
      </c>
      <c r="AS96" s="257">
        <f>AR96</f>
        <v>0</v>
      </c>
      <c r="AT96" s="306">
        <v>0</v>
      </c>
      <c r="AU96" s="307">
        <f>(AT66+AV66/2)*((AT45-AU45)*(1+$BR$45))*Faktory!$D$10</f>
        <v>0</v>
      </c>
      <c r="AV96" s="257">
        <f>AU96</f>
        <v>0</v>
      </c>
      <c r="AW96" s="306">
        <v>0</v>
      </c>
      <c r="AX96" s="307">
        <f>(AW66+AY66/2)*((AW45-AX45)*(1+$BR$45))*Faktory!$D$10</f>
        <v>0</v>
      </c>
      <c r="AY96" s="257">
        <f>AX96</f>
        <v>0</v>
      </c>
      <c r="AZ96" s="306">
        <v>0</v>
      </c>
      <c r="BA96" s="307">
        <f>(AZ66+BB66/2)*((AZ45-BA45)*(1+$BR$45))*Faktory!$D$10</f>
        <v>0</v>
      </c>
      <c r="BB96" s="257">
        <f>BA96</f>
        <v>0</v>
      </c>
      <c r="BC96" s="306">
        <v>0</v>
      </c>
      <c r="BD96" s="307">
        <f>(BC66+BE66/2)*((BC45-BD45)*(1+$BR$45))*Faktory!$D$10</f>
        <v>0</v>
      </c>
      <c r="BE96" s="257">
        <f>BD96</f>
        <v>0</v>
      </c>
      <c r="BF96" s="306">
        <v>0</v>
      </c>
      <c r="BG96" s="307">
        <f>(BF66+BH66/2)*((BF45-BG45)*(1+$BR$45))*Faktory!$D$10</f>
        <v>0</v>
      </c>
      <c r="BH96" s="257">
        <f>BG96</f>
        <v>0</v>
      </c>
      <c r="BI96" s="306">
        <v>0</v>
      </c>
      <c r="BJ96" s="307">
        <f>(BI66+BK66/2)*((BI45-BJ45)*(1+$BR$45))*Faktory!$D$10</f>
        <v>0</v>
      </c>
      <c r="BK96" s="257">
        <f>BJ96</f>
        <v>0</v>
      </c>
      <c r="BL96" s="306">
        <v>0</v>
      </c>
      <c r="BM96" s="307">
        <f>(BL66+BN66/2)*((BL45-BM45)*(1+$BR$45))*Faktory!$D$10</f>
        <v>0</v>
      </c>
      <c r="BN96" s="257">
        <f>BM96</f>
        <v>0</v>
      </c>
      <c r="BO96" s="306">
        <v>0</v>
      </c>
      <c r="BP96" s="307">
        <f>(BO66+BQ66/2)*((BO45-BP45)*(1+$BR$45))*Faktory!$D$10</f>
        <v>0</v>
      </c>
      <c r="BQ96" s="257">
        <f>BP96</f>
        <v>0</v>
      </c>
    </row>
    <row r="97" spans="1:69">
      <c r="A97" s="676"/>
      <c r="B97" s="678"/>
      <c r="C97" s="290" t="s">
        <v>26</v>
      </c>
      <c r="D97" s="291">
        <f t="shared" si="359"/>
        <v>0</v>
      </c>
      <c r="E97" s="292">
        <f t="shared" si="162"/>
        <v>0</v>
      </c>
      <c r="F97" s="293">
        <f t="shared" si="163"/>
        <v>0</v>
      </c>
      <c r="G97" s="298">
        <v>0</v>
      </c>
      <c r="H97" s="299">
        <f>(G67+I67/2)*((G46-H46)*(1+$BR$45))*Faktory!$D$10</f>
        <v>0</v>
      </c>
      <c r="I97" s="262">
        <f t="shared" ref="I97:I105" si="360">H97</f>
        <v>0</v>
      </c>
      <c r="J97" s="298">
        <v>0</v>
      </c>
      <c r="K97" s="299">
        <f>(J67+L67/2)*((J46-K46)*(1+$BR$45))*Faktory!$D$10</f>
        <v>0</v>
      </c>
      <c r="L97" s="262">
        <f t="shared" ref="L97:L105" si="361">K97</f>
        <v>0</v>
      </c>
      <c r="M97" s="298">
        <v>0</v>
      </c>
      <c r="N97" s="299">
        <f>(M67+O67/2)*((M46-N46)*(1+$BR$45))*Faktory!$D$10</f>
        <v>0</v>
      </c>
      <c r="O97" s="262">
        <f t="shared" ref="O97:O105" si="362">N97</f>
        <v>0</v>
      </c>
      <c r="P97" s="298">
        <v>0</v>
      </c>
      <c r="Q97" s="299">
        <f>(P67+R67/2)*((P46-Q46)*(1+$BR$45))*Faktory!$D$10</f>
        <v>0</v>
      </c>
      <c r="R97" s="262">
        <f t="shared" ref="R97:R105" si="363">Q97</f>
        <v>0</v>
      </c>
      <c r="S97" s="298">
        <v>0</v>
      </c>
      <c r="T97" s="299">
        <f>(S67+U67/2)*((S46-T46)*(1+$BR$45))*Faktory!$D$10</f>
        <v>0</v>
      </c>
      <c r="U97" s="262">
        <f t="shared" ref="U97:U105" si="364">T97</f>
        <v>0</v>
      </c>
      <c r="V97" s="298">
        <v>0</v>
      </c>
      <c r="W97" s="299">
        <f>(V67+X67/2)*((V46-W46)*(1+$BR$45))*Faktory!$D$10</f>
        <v>0</v>
      </c>
      <c r="X97" s="262">
        <f t="shared" ref="X97:X105" si="365">W97</f>
        <v>0</v>
      </c>
      <c r="Y97" s="298">
        <v>0</v>
      </c>
      <c r="Z97" s="299">
        <f>(Y67+AA67/2)*((Y46-Z46)*(1+$BR$45))*Faktory!$D$10</f>
        <v>0</v>
      </c>
      <c r="AA97" s="262">
        <f t="shared" ref="AA97:AA105" si="366">Z97</f>
        <v>0</v>
      </c>
      <c r="AB97" s="298">
        <v>0</v>
      </c>
      <c r="AC97" s="299">
        <f>(AB67+AD67/2)*((AB46-AC46)*(1+$BR$45))*Faktory!$D$10</f>
        <v>0</v>
      </c>
      <c r="AD97" s="262">
        <f t="shared" ref="AD97:AD105" si="367">AC97</f>
        <v>0</v>
      </c>
      <c r="AE97" s="298">
        <v>0</v>
      </c>
      <c r="AF97" s="299">
        <f>(AE67+AG67/2)*((AE46-AF46)*(1+$BR$45))*Faktory!$D$10</f>
        <v>0</v>
      </c>
      <c r="AG97" s="262">
        <f t="shared" ref="AG97:AG105" si="368">AF97</f>
        <v>0</v>
      </c>
      <c r="AH97" s="298">
        <v>0</v>
      </c>
      <c r="AI97" s="299">
        <f>(AH67+AJ67/2)*((AH46-AI46)*(1+$BR$45))*Faktory!$D$10</f>
        <v>0</v>
      </c>
      <c r="AJ97" s="262">
        <f t="shared" ref="AJ97:AJ105" si="369">AI97</f>
        <v>0</v>
      </c>
      <c r="AK97" s="298">
        <v>0</v>
      </c>
      <c r="AL97" s="299">
        <f>(AK67+AM67/2)*((AK46-AL46)*(1+$BR$45))*Faktory!$D$10</f>
        <v>0</v>
      </c>
      <c r="AM97" s="262">
        <f t="shared" ref="AM97:AM105" si="370">AL97</f>
        <v>0</v>
      </c>
      <c r="AN97" s="298">
        <v>0</v>
      </c>
      <c r="AO97" s="299">
        <f>(AN67+AP67/2)*((AN46-AO46)*(1+$BR$45))*Faktory!$D$10</f>
        <v>0</v>
      </c>
      <c r="AP97" s="262">
        <f t="shared" ref="AP97:AP105" si="371">AO97</f>
        <v>0</v>
      </c>
      <c r="AQ97" s="298">
        <v>0</v>
      </c>
      <c r="AR97" s="299">
        <f>(AQ67+AS67/2)*((AQ46-AR46)*(1+$BR$45))*Faktory!$D$10</f>
        <v>0</v>
      </c>
      <c r="AS97" s="262">
        <f t="shared" ref="AS97:AS105" si="372">AR97</f>
        <v>0</v>
      </c>
      <c r="AT97" s="298">
        <v>0</v>
      </c>
      <c r="AU97" s="299">
        <f>(AT67+AV67/2)*((AT46-AU46)*(1+$BR$45))*Faktory!$D$10</f>
        <v>0</v>
      </c>
      <c r="AV97" s="262">
        <f t="shared" ref="AV97:AV105" si="373">AU97</f>
        <v>0</v>
      </c>
      <c r="AW97" s="298">
        <v>0</v>
      </c>
      <c r="AX97" s="299">
        <f>(AW67+AY67/2)*((AW46-AX46)*(1+$BR$45))*Faktory!$D$10</f>
        <v>0</v>
      </c>
      <c r="AY97" s="262">
        <f t="shared" ref="AY97:AY105" si="374">AX97</f>
        <v>0</v>
      </c>
      <c r="AZ97" s="298">
        <v>0</v>
      </c>
      <c r="BA97" s="299">
        <f>(AZ67+BB67/2)*((AZ46-BA46)*(1+$BR$45))*Faktory!$D$10</f>
        <v>0</v>
      </c>
      <c r="BB97" s="262">
        <f t="shared" ref="BB97:BB105" si="375">BA97</f>
        <v>0</v>
      </c>
      <c r="BC97" s="298">
        <v>0</v>
      </c>
      <c r="BD97" s="299">
        <f>(BC67+BE67/2)*((BC46-BD46)*(1+$BR$45))*Faktory!$D$10</f>
        <v>0</v>
      </c>
      <c r="BE97" s="262">
        <f t="shared" ref="BE97:BE105" si="376">BD97</f>
        <v>0</v>
      </c>
      <c r="BF97" s="298">
        <v>0</v>
      </c>
      <c r="BG97" s="299">
        <f>(BF67+BH67/2)*((BF46-BG46)*(1+$BR$45))*Faktory!$D$10</f>
        <v>0</v>
      </c>
      <c r="BH97" s="262">
        <f t="shared" ref="BH97:BH105" si="377">BG97</f>
        <v>0</v>
      </c>
      <c r="BI97" s="298">
        <v>0</v>
      </c>
      <c r="BJ97" s="299">
        <f>(BI67+BK67/2)*((BI46-BJ46)*(1+$BR$45))*Faktory!$D$10</f>
        <v>0</v>
      </c>
      <c r="BK97" s="262">
        <f t="shared" ref="BK97:BK105" si="378">BJ97</f>
        <v>0</v>
      </c>
      <c r="BL97" s="298">
        <v>0</v>
      </c>
      <c r="BM97" s="299">
        <f>(BL67+BN67/2)*((BL46-BM46)*(1+$BR$45))*Faktory!$D$10</f>
        <v>0</v>
      </c>
      <c r="BN97" s="262">
        <f t="shared" ref="BN97:BN105" si="379">BM97</f>
        <v>0</v>
      </c>
      <c r="BO97" s="298">
        <v>0</v>
      </c>
      <c r="BP97" s="299">
        <f>(BO67+BQ67/2)*((BO46-BP46)*(1+$BR$45))*Faktory!$D$10</f>
        <v>0</v>
      </c>
      <c r="BQ97" s="262">
        <f t="shared" ref="BQ97:BQ105" si="380">BP97</f>
        <v>0</v>
      </c>
    </row>
    <row r="98" spans="1:69">
      <c r="A98" s="676"/>
      <c r="B98" s="678"/>
      <c r="C98" s="290" t="s">
        <v>27</v>
      </c>
      <c r="D98" s="291">
        <f t="shared" si="359"/>
        <v>0</v>
      </c>
      <c r="E98" s="292">
        <f t="shared" si="162"/>
        <v>7241535</v>
      </c>
      <c r="F98" s="293">
        <f t="shared" si="163"/>
        <v>7241535</v>
      </c>
      <c r="G98" s="298">
        <v>0</v>
      </c>
      <c r="H98" s="299">
        <f>(G68+I68/2)*((G47-H47)*(1+$BR$45))*Faktory!$D$10</f>
        <v>344835</v>
      </c>
      <c r="I98" s="262">
        <f t="shared" si="360"/>
        <v>344835</v>
      </c>
      <c r="J98" s="298">
        <v>0</v>
      </c>
      <c r="K98" s="299">
        <f>(J68+L68/2)*((J47-K47)*(1+$BR$45))*Faktory!$D$10</f>
        <v>344835</v>
      </c>
      <c r="L98" s="262">
        <f t="shared" si="361"/>
        <v>344835</v>
      </c>
      <c r="M98" s="298">
        <v>0</v>
      </c>
      <c r="N98" s="299">
        <f>(M68+O68/2)*((M47-N47)*(1+$BR$45))*Faktory!$D$10</f>
        <v>344835</v>
      </c>
      <c r="O98" s="262">
        <f t="shared" si="362"/>
        <v>344835</v>
      </c>
      <c r="P98" s="298">
        <v>0</v>
      </c>
      <c r="Q98" s="299">
        <f>(P68+R68/2)*((P47-Q47)*(1+$BR$45))*Faktory!$D$10</f>
        <v>344835</v>
      </c>
      <c r="R98" s="262">
        <f t="shared" si="363"/>
        <v>344835</v>
      </c>
      <c r="S98" s="298">
        <v>0</v>
      </c>
      <c r="T98" s="299">
        <f>(S68+U68/2)*((S47-T47)*(1+$BR$45))*Faktory!$D$10</f>
        <v>344835</v>
      </c>
      <c r="U98" s="262">
        <f t="shared" si="364"/>
        <v>344835</v>
      </c>
      <c r="V98" s="298">
        <v>0</v>
      </c>
      <c r="W98" s="299">
        <f>(V68+X68/2)*((V47-W47)*(1+$BR$45))*Faktory!$D$10</f>
        <v>344835</v>
      </c>
      <c r="X98" s="262">
        <f t="shared" si="365"/>
        <v>344835</v>
      </c>
      <c r="Y98" s="298">
        <v>0</v>
      </c>
      <c r="Z98" s="299">
        <f>(Y68+AA68/2)*((Y47-Z47)*(1+$BR$45))*Faktory!$D$10</f>
        <v>344835</v>
      </c>
      <c r="AA98" s="262">
        <f t="shared" si="366"/>
        <v>344835</v>
      </c>
      <c r="AB98" s="298">
        <v>0</v>
      </c>
      <c r="AC98" s="299">
        <f>(AB68+AD68/2)*((AB47-AC47)*(1+$BR$45))*Faktory!$D$10</f>
        <v>344835</v>
      </c>
      <c r="AD98" s="262">
        <f t="shared" si="367"/>
        <v>344835</v>
      </c>
      <c r="AE98" s="298">
        <v>0</v>
      </c>
      <c r="AF98" s="299">
        <f>(AE68+AG68/2)*((AE47-AF47)*(1+$BR$45))*Faktory!$D$10</f>
        <v>344835</v>
      </c>
      <c r="AG98" s="262">
        <f t="shared" si="368"/>
        <v>344835</v>
      </c>
      <c r="AH98" s="298">
        <v>0</v>
      </c>
      <c r="AI98" s="299">
        <f>(AH68+AJ68/2)*((AH47-AI47)*(1+$BR$45))*Faktory!$D$10</f>
        <v>344835</v>
      </c>
      <c r="AJ98" s="262">
        <f t="shared" si="369"/>
        <v>344835</v>
      </c>
      <c r="AK98" s="298">
        <v>0</v>
      </c>
      <c r="AL98" s="299">
        <f>(AK68+AM68/2)*((AK47-AL47)*(1+$BR$45))*Faktory!$D$10</f>
        <v>344835</v>
      </c>
      <c r="AM98" s="262">
        <f t="shared" si="370"/>
        <v>344835</v>
      </c>
      <c r="AN98" s="298">
        <v>0</v>
      </c>
      <c r="AO98" s="299">
        <f>(AN68+AP68/2)*((AN47-AO47)*(1+$BR$45))*Faktory!$D$10</f>
        <v>344835</v>
      </c>
      <c r="AP98" s="262">
        <f t="shared" si="371"/>
        <v>344835</v>
      </c>
      <c r="AQ98" s="298">
        <v>0</v>
      </c>
      <c r="AR98" s="299">
        <f>(AQ68+AS68/2)*((AQ47-AR47)*(1+$BR$45))*Faktory!$D$10</f>
        <v>344835</v>
      </c>
      <c r="AS98" s="262">
        <f t="shared" si="372"/>
        <v>344835</v>
      </c>
      <c r="AT98" s="298">
        <v>0</v>
      </c>
      <c r="AU98" s="299">
        <f>(AT68+AV68/2)*((AT47-AU47)*(1+$BR$45))*Faktory!$D$10</f>
        <v>344835</v>
      </c>
      <c r="AV98" s="262">
        <f t="shared" si="373"/>
        <v>344835</v>
      </c>
      <c r="AW98" s="298">
        <v>0</v>
      </c>
      <c r="AX98" s="299">
        <f>(AW68+AY68/2)*((AW47-AX47)*(1+$BR$45))*Faktory!$D$10</f>
        <v>344835</v>
      </c>
      <c r="AY98" s="262">
        <f t="shared" si="374"/>
        <v>344835</v>
      </c>
      <c r="AZ98" s="298">
        <v>0</v>
      </c>
      <c r="BA98" s="299">
        <f>(AZ68+BB68/2)*((AZ47-BA47)*(1+$BR$45))*Faktory!$D$10</f>
        <v>344835</v>
      </c>
      <c r="BB98" s="262">
        <f t="shared" si="375"/>
        <v>344835</v>
      </c>
      <c r="BC98" s="298">
        <v>0</v>
      </c>
      <c r="BD98" s="299">
        <f>(BC68+BE68/2)*((BC47-BD47)*(1+$BR$45))*Faktory!$D$10</f>
        <v>344835</v>
      </c>
      <c r="BE98" s="262">
        <f t="shared" si="376"/>
        <v>344835</v>
      </c>
      <c r="BF98" s="298">
        <v>0</v>
      </c>
      <c r="BG98" s="299">
        <f>(BF68+BH68/2)*((BF47-BG47)*(1+$BR$45))*Faktory!$D$10</f>
        <v>344835</v>
      </c>
      <c r="BH98" s="262">
        <f t="shared" si="377"/>
        <v>344835</v>
      </c>
      <c r="BI98" s="298">
        <v>0</v>
      </c>
      <c r="BJ98" s="299">
        <f>(BI68+BK68/2)*((BI47-BJ47)*(1+$BR$45))*Faktory!$D$10</f>
        <v>344835</v>
      </c>
      <c r="BK98" s="262">
        <f t="shared" si="378"/>
        <v>344835</v>
      </c>
      <c r="BL98" s="298">
        <v>0</v>
      </c>
      <c r="BM98" s="299">
        <f>(BL68+BN68/2)*((BL47-BM47)*(1+$BR$45))*Faktory!$D$10</f>
        <v>344835</v>
      </c>
      <c r="BN98" s="262">
        <f t="shared" si="379"/>
        <v>344835</v>
      </c>
      <c r="BO98" s="298">
        <v>0</v>
      </c>
      <c r="BP98" s="299">
        <f>(BO68+BQ68/2)*((BO47-BP47)*(1+$BR$45))*Faktory!$D$10</f>
        <v>0</v>
      </c>
      <c r="BQ98" s="262">
        <f t="shared" si="380"/>
        <v>0</v>
      </c>
    </row>
    <row r="99" spans="1:69">
      <c r="A99" s="676"/>
      <c r="B99" s="678"/>
      <c r="C99" s="290" t="s">
        <v>28</v>
      </c>
      <c r="D99" s="291">
        <f t="shared" si="359"/>
        <v>0</v>
      </c>
      <c r="E99" s="292">
        <f t="shared" si="162"/>
        <v>7241535</v>
      </c>
      <c r="F99" s="293">
        <f t="shared" si="163"/>
        <v>7241535</v>
      </c>
      <c r="G99" s="298">
        <v>0</v>
      </c>
      <c r="H99" s="299">
        <f>(G69+I69/2)*((G48-H48)*(1+$BR$45))*Faktory!$D$10</f>
        <v>344835</v>
      </c>
      <c r="I99" s="262">
        <f t="shared" si="360"/>
        <v>344835</v>
      </c>
      <c r="J99" s="298">
        <v>0</v>
      </c>
      <c r="K99" s="299">
        <f>(J69+L69/2)*((J48-K48)*(1+$BR$45))*Faktory!$D$10</f>
        <v>344835</v>
      </c>
      <c r="L99" s="262">
        <f t="shared" si="361"/>
        <v>344835</v>
      </c>
      <c r="M99" s="298">
        <v>0</v>
      </c>
      <c r="N99" s="299">
        <f>(M69+O69/2)*((M48-N48)*(1+$BR$45))*Faktory!$D$10</f>
        <v>344835</v>
      </c>
      <c r="O99" s="262">
        <f t="shared" si="362"/>
        <v>344835</v>
      </c>
      <c r="P99" s="298">
        <v>0</v>
      </c>
      <c r="Q99" s="299">
        <f>(P69+R69/2)*((P48-Q48)*(1+$BR$45))*Faktory!$D$10</f>
        <v>344835</v>
      </c>
      <c r="R99" s="262">
        <f t="shared" si="363"/>
        <v>344835</v>
      </c>
      <c r="S99" s="298">
        <v>0</v>
      </c>
      <c r="T99" s="299">
        <f>(S69+U69/2)*((S48-T48)*(1+$BR$45))*Faktory!$D$10</f>
        <v>344835</v>
      </c>
      <c r="U99" s="262">
        <f t="shared" si="364"/>
        <v>344835</v>
      </c>
      <c r="V99" s="298">
        <v>0</v>
      </c>
      <c r="W99" s="299">
        <f>(V69+X69/2)*((V48-W48)*(1+$BR$45))*Faktory!$D$10</f>
        <v>344835</v>
      </c>
      <c r="X99" s="262">
        <f t="shared" si="365"/>
        <v>344835</v>
      </c>
      <c r="Y99" s="298">
        <v>0</v>
      </c>
      <c r="Z99" s="299">
        <f>(Y69+AA69/2)*((Y48-Z48)*(1+$BR$45))*Faktory!$D$10</f>
        <v>344835</v>
      </c>
      <c r="AA99" s="262">
        <f t="shared" si="366"/>
        <v>344835</v>
      </c>
      <c r="AB99" s="298">
        <v>0</v>
      </c>
      <c r="AC99" s="299">
        <f>(AB69+AD69/2)*((AB48-AC48)*(1+$BR$45))*Faktory!$D$10</f>
        <v>344835</v>
      </c>
      <c r="AD99" s="262">
        <f t="shared" si="367"/>
        <v>344835</v>
      </c>
      <c r="AE99" s="298">
        <v>0</v>
      </c>
      <c r="AF99" s="299">
        <f>(AE69+AG69/2)*((AE48-AF48)*(1+$BR$45))*Faktory!$D$10</f>
        <v>344835</v>
      </c>
      <c r="AG99" s="262">
        <f t="shared" si="368"/>
        <v>344835</v>
      </c>
      <c r="AH99" s="298">
        <v>0</v>
      </c>
      <c r="AI99" s="299">
        <f>(AH69+AJ69/2)*((AH48-AI48)*(1+$BR$45))*Faktory!$D$10</f>
        <v>344835</v>
      </c>
      <c r="AJ99" s="262">
        <f t="shared" si="369"/>
        <v>344835</v>
      </c>
      <c r="AK99" s="298">
        <v>0</v>
      </c>
      <c r="AL99" s="299">
        <f>(AK69+AM69/2)*((AK48-AL48)*(1+$BR$45))*Faktory!$D$10</f>
        <v>344835</v>
      </c>
      <c r="AM99" s="262">
        <f t="shared" si="370"/>
        <v>344835</v>
      </c>
      <c r="AN99" s="298">
        <v>0</v>
      </c>
      <c r="AO99" s="299">
        <f>(AN69+AP69/2)*((AN48-AO48)*(1+$BR$45))*Faktory!$D$10</f>
        <v>344835</v>
      </c>
      <c r="AP99" s="262">
        <f t="shared" si="371"/>
        <v>344835</v>
      </c>
      <c r="AQ99" s="298">
        <v>0</v>
      </c>
      <c r="AR99" s="299">
        <f>(AQ69+AS69/2)*((AQ48-AR48)*(1+$BR$45))*Faktory!$D$10</f>
        <v>344835</v>
      </c>
      <c r="AS99" s="262">
        <f t="shared" si="372"/>
        <v>344835</v>
      </c>
      <c r="AT99" s="298">
        <v>0</v>
      </c>
      <c r="AU99" s="299">
        <f>(AT69+AV69/2)*((AT48-AU48)*(1+$BR$45))*Faktory!$D$10</f>
        <v>344835</v>
      </c>
      <c r="AV99" s="262">
        <f t="shared" si="373"/>
        <v>344835</v>
      </c>
      <c r="AW99" s="298">
        <v>0</v>
      </c>
      <c r="AX99" s="299">
        <f>(AW69+AY69/2)*((AW48-AX48)*(1+$BR$45))*Faktory!$D$10</f>
        <v>344835</v>
      </c>
      <c r="AY99" s="262">
        <f t="shared" si="374"/>
        <v>344835</v>
      </c>
      <c r="AZ99" s="298">
        <v>0</v>
      </c>
      <c r="BA99" s="299">
        <f>(AZ69+BB69/2)*((AZ48-BA48)*(1+$BR$45))*Faktory!$D$10</f>
        <v>344835</v>
      </c>
      <c r="BB99" s="262">
        <f t="shared" si="375"/>
        <v>344835</v>
      </c>
      <c r="BC99" s="298">
        <v>0</v>
      </c>
      <c r="BD99" s="299">
        <f>(BC69+BE69/2)*((BC48-BD48)*(1+$BR$45))*Faktory!$D$10</f>
        <v>344835</v>
      </c>
      <c r="BE99" s="262">
        <f t="shared" si="376"/>
        <v>344835</v>
      </c>
      <c r="BF99" s="298">
        <v>0</v>
      </c>
      <c r="BG99" s="299">
        <f>(BF69+BH69/2)*((BF48-BG48)*(1+$BR$45))*Faktory!$D$10</f>
        <v>344835</v>
      </c>
      <c r="BH99" s="262">
        <f t="shared" si="377"/>
        <v>344835</v>
      </c>
      <c r="BI99" s="298">
        <v>0</v>
      </c>
      <c r="BJ99" s="299">
        <f>(BI69+BK69/2)*((BI48-BJ48)*(1+$BR$45))*Faktory!$D$10</f>
        <v>344835</v>
      </c>
      <c r="BK99" s="262">
        <f t="shared" si="378"/>
        <v>344835</v>
      </c>
      <c r="BL99" s="298">
        <v>0</v>
      </c>
      <c r="BM99" s="299">
        <f>(BL69+BN69/2)*((BL48-BM48)*(1+$BR$45))*Faktory!$D$10</f>
        <v>344835</v>
      </c>
      <c r="BN99" s="262">
        <f t="shared" si="379"/>
        <v>344835</v>
      </c>
      <c r="BO99" s="298">
        <v>0</v>
      </c>
      <c r="BP99" s="299">
        <f>(BO69+BQ69/2)*((BO48-BP48)*(1+$BR$45))*Faktory!$D$10</f>
        <v>0</v>
      </c>
      <c r="BQ99" s="262">
        <f t="shared" si="380"/>
        <v>0</v>
      </c>
    </row>
    <row r="100" spans="1:69">
      <c r="A100" s="676"/>
      <c r="B100" s="678"/>
      <c r="C100" s="290" t="s">
        <v>29</v>
      </c>
      <c r="D100" s="291">
        <f t="shared" si="359"/>
        <v>0</v>
      </c>
      <c r="E100" s="292">
        <f t="shared" si="162"/>
        <v>7241535</v>
      </c>
      <c r="F100" s="293">
        <f t="shared" si="163"/>
        <v>7241535</v>
      </c>
      <c r="G100" s="298">
        <v>0</v>
      </c>
      <c r="H100" s="299">
        <f>(G70+I70/2)*((G49-H49)*(1+$BR$45))*Faktory!$D$10</f>
        <v>344835</v>
      </c>
      <c r="I100" s="262">
        <f t="shared" si="360"/>
        <v>344835</v>
      </c>
      <c r="J100" s="298">
        <v>0</v>
      </c>
      <c r="K100" s="299">
        <f>(J70+L70/2)*((J49-K49)*(1+$BR$45))*Faktory!$D$10</f>
        <v>344835</v>
      </c>
      <c r="L100" s="262">
        <f t="shared" si="361"/>
        <v>344835</v>
      </c>
      <c r="M100" s="298">
        <v>0</v>
      </c>
      <c r="N100" s="299">
        <f>(M70+O70/2)*((M49-N49)*(1+$BR$45))*Faktory!$D$10</f>
        <v>344835</v>
      </c>
      <c r="O100" s="262">
        <f t="shared" si="362"/>
        <v>344835</v>
      </c>
      <c r="P100" s="298">
        <v>0</v>
      </c>
      <c r="Q100" s="299">
        <f>(P70+R70/2)*((P49-Q49)*(1+$BR$45))*Faktory!$D$10</f>
        <v>344835</v>
      </c>
      <c r="R100" s="262">
        <f t="shared" si="363"/>
        <v>344835</v>
      </c>
      <c r="S100" s="298">
        <v>0</v>
      </c>
      <c r="T100" s="299">
        <f>(S70+U70/2)*((S49-T49)*(1+$BR$45))*Faktory!$D$10</f>
        <v>344835</v>
      </c>
      <c r="U100" s="262">
        <f t="shared" si="364"/>
        <v>344835</v>
      </c>
      <c r="V100" s="298">
        <v>0</v>
      </c>
      <c r="W100" s="299">
        <f>(V70+X70/2)*((V49-W49)*(1+$BR$45))*Faktory!$D$10</f>
        <v>344835</v>
      </c>
      <c r="X100" s="262">
        <f t="shared" si="365"/>
        <v>344835</v>
      </c>
      <c r="Y100" s="298">
        <v>0</v>
      </c>
      <c r="Z100" s="299">
        <f>(Y70+AA70/2)*((Y49-Z49)*(1+$BR$45))*Faktory!$D$10</f>
        <v>344835</v>
      </c>
      <c r="AA100" s="262">
        <f t="shared" si="366"/>
        <v>344835</v>
      </c>
      <c r="AB100" s="298">
        <v>0</v>
      </c>
      <c r="AC100" s="299">
        <f>(AB70+AD70/2)*((AB49-AC49)*(1+$BR$45))*Faktory!$D$10</f>
        <v>344835</v>
      </c>
      <c r="AD100" s="262">
        <f t="shared" si="367"/>
        <v>344835</v>
      </c>
      <c r="AE100" s="298">
        <v>0</v>
      </c>
      <c r="AF100" s="299">
        <f>(AE70+AG70/2)*((AE49-AF49)*(1+$BR$45))*Faktory!$D$10</f>
        <v>344835</v>
      </c>
      <c r="AG100" s="262">
        <f t="shared" si="368"/>
        <v>344835</v>
      </c>
      <c r="AH100" s="298">
        <v>0</v>
      </c>
      <c r="AI100" s="299">
        <f>(AH70+AJ70/2)*((AH49-AI49)*(1+$BR$45))*Faktory!$D$10</f>
        <v>344835</v>
      </c>
      <c r="AJ100" s="262">
        <f t="shared" si="369"/>
        <v>344835</v>
      </c>
      <c r="AK100" s="298">
        <v>0</v>
      </c>
      <c r="AL100" s="299">
        <f>(AK70+AM70/2)*((AK49-AL49)*(1+$BR$45))*Faktory!$D$10</f>
        <v>344835</v>
      </c>
      <c r="AM100" s="262">
        <f t="shared" si="370"/>
        <v>344835</v>
      </c>
      <c r="AN100" s="298">
        <v>0</v>
      </c>
      <c r="AO100" s="299">
        <f>(AN70+AP70/2)*((AN49-AO49)*(1+$BR$45))*Faktory!$D$10</f>
        <v>344835</v>
      </c>
      <c r="AP100" s="262">
        <f t="shared" si="371"/>
        <v>344835</v>
      </c>
      <c r="AQ100" s="298">
        <v>0</v>
      </c>
      <c r="AR100" s="299">
        <f>(AQ70+AS70/2)*((AQ49-AR49)*(1+$BR$45))*Faktory!$D$10</f>
        <v>344835</v>
      </c>
      <c r="AS100" s="262">
        <f t="shared" si="372"/>
        <v>344835</v>
      </c>
      <c r="AT100" s="298">
        <v>0</v>
      </c>
      <c r="AU100" s="299">
        <f>(AT70+AV70/2)*((AT49-AU49)*(1+$BR$45))*Faktory!$D$10</f>
        <v>344835</v>
      </c>
      <c r="AV100" s="262">
        <f t="shared" si="373"/>
        <v>344835</v>
      </c>
      <c r="AW100" s="298">
        <v>0</v>
      </c>
      <c r="AX100" s="299">
        <f>(AW70+AY70/2)*((AW49-AX49)*(1+$BR$45))*Faktory!$D$10</f>
        <v>344835</v>
      </c>
      <c r="AY100" s="262">
        <f t="shared" si="374"/>
        <v>344835</v>
      </c>
      <c r="AZ100" s="298">
        <v>0</v>
      </c>
      <c r="BA100" s="299">
        <f>(AZ70+BB70/2)*((AZ49-BA49)*(1+$BR$45))*Faktory!$D$10</f>
        <v>344835</v>
      </c>
      <c r="BB100" s="262">
        <f t="shared" si="375"/>
        <v>344835</v>
      </c>
      <c r="BC100" s="298">
        <v>0</v>
      </c>
      <c r="BD100" s="299">
        <f>(BC70+BE70/2)*((BC49-BD49)*(1+$BR$45))*Faktory!$D$10</f>
        <v>344835</v>
      </c>
      <c r="BE100" s="262">
        <f t="shared" si="376"/>
        <v>344835</v>
      </c>
      <c r="BF100" s="298">
        <v>0</v>
      </c>
      <c r="BG100" s="299">
        <f>(BF70+BH70/2)*((BF49-BG49)*(1+$BR$45))*Faktory!$D$10</f>
        <v>344835</v>
      </c>
      <c r="BH100" s="262">
        <f t="shared" si="377"/>
        <v>344835</v>
      </c>
      <c r="BI100" s="298">
        <v>0</v>
      </c>
      <c r="BJ100" s="299">
        <f>(BI70+BK70/2)*((BI49-BJ49)*(1+$BR$45))*Faktory!$D$10</f>
        <v>344835</v>
      </c>
      <c r="BK100" s="262">
        <f t="shared" si="378"/>
        <v>344835</v>
      </c>
      <c r="BL100" s="298">
        <v>0</v>
      </c>
      <c r="BM100" s="299">
        <f>(BL70+BN70/2)*((BL49-BM49)*(1+$BR$45))*Faktory!$D$10</f>
        <v>344835</v>
      </c>
      <c r="BN100" s="262">
        <f t="shared" si="379"/>
        <v>344835</v>
      </c>
      <c r="BO100" s="298">
        <v>0</v>
      </c>
      <c r="BP100" s="299">
        <f>(BO70+BQ70/2)*((BO49-BP49)*(1+$BR$45))*Faktory!$D$10</f>
        <v>0</v>
      </c>
      <c r="BQ100" s="262">
        <f t="shared" si="380"/>
        <v>0</v>
      </c>
    </row>
    <row r="101" spans="1:69">
      <c r="A101" s="676"/>
      <c r="B101" s="678"/>
      <c r="C101" s="290" t="s">
        <v>30</v>
      </c>
      <c r="D101" s="291">
        <f t="shared" si="359"/>
        <v>0</v>
      </c>
      <c r="E101" s="292">
        <f t="shared" si="162"/>
        <v>7241535</v>
      </c>
      <c r="F101" s="293">
        <f t="shared" si="163"/>
        <v>7241535</v>
      </c>
      <c r="G101" s="298">
        <v>0</v>
      </c>
      <c r="H101" s="299">
        <f>(G71+I71/2)*((G50-H50)*(1+$BR$45))*Faktory!$D$10</f>
        <v>344835</v>
      </c>
      <c r="I101" s="262">
        <f t="shared" si="360"/>
        <v>344835</v>
      </c>
      <c r="J101" s="298">
        <v>0</v>
      </c>
      <c r="K101" s="299">
        <f>(J71+L71/2)*((J50-K50)*(1+$BR$45))*Faktory!$D$10</f>
        <v>344835</v>
      </c>
      <c r="L101" s="262">
        <f t="shared" si="361"/>
        <v>344835</v>
      </c>
      <c r="M101" s="298">
        <v>0</v>
      </c>
      <c r="N101" s="299">
        <f>(M71+O71/2)*((M50-N50)*(1+$BR$45))*Faktory!$D$10</f>
        <v>344835</v>
      </c>
      <c r="O101" s="262">
        <f t="shared" si="362"/>
        <v>344835</v>
      </c>
      <c r="P101" s="298">
        <v>0</v>
      </c>
      <c r="Q101" s="299">
        <f>(P71+R71/2)*((P50-Q50)*(1+$BR$45))*Faktory!$D$10</f>
        <v>344835</v>
      </c>
      <c r="R101" s="262">
        <f t="shared" si="363"/>
        <v>344835</v>
      </c>
      <c r="S101" s="298">
        <v>0</v>
      </c>
      <c r="T101" s="299">
        <f>(S71+U71/2)*((S50-T50)*(1+$BR$45))*Faktory!$D$10</f>
        <v>344835</v>
      </c>
      <c r="U101" s="262">
        <f t="shared" si="364"/>
        <v>344835</v>
      </c>
      <c r="V101" s="298">
        <v>0</v>
      </c>
      <c r="W101" s="299">
        <f>(V71+X71/2)*((V50-W50)*(1+$BR$45))*Faktory!$D$10</f>
        <v>344835</v>
      </c>
      <c r="X101" s="262">
        <f t="shared" si="365"/>
        <v>344835</v>
      </c>
      <c r="Y101" s="298">
        <v>0</v>
      </c>
      <c r="Z101" s="299">
        <f>(Y71+AA71/2)*((Y50-Z50)*(1+$BR$45))*Faktory!$D$10</f>
        <v>344835</v>
      </c>
      <c r="AA101" s="262">
        <f t="shared" si="366"/>
        <v>344835</v>
      </c>
      <c r="AB101" s="298">
        <v>0</v>
      </c>
      <c r="AC101" s="299">
        <f>(AB71+AD71/2)*((AB50-AC50)*(1+$BR$45))*Faktory!$D$10</f>
        <v>344835</v>
      </c>
      <c r="AD101" s="262">
        <f t="shared" si="367"/>
        <v>344835</v>
      </c>
      <c r="AE101" s="298">
        <v>0</v>
      </c>
      <c r="AF101" s="299">
        <f>(AE71+AG71/2)*((AE50-AF50)*(1+$BR$45))*Faktory!$D$10</f>
        <v>344835</v>
      </c>
      <c r="AG101" s="262">
        <f t="shared" si="368"/>
        <v>344835</v>
      </c>
      <c r="AH101" s="298">
        <v>0</v>
      </c>
      <c r="AI101" s="299">
        <f>(AH71+AJ71/2)*((AH50-AI50)*(1+$BR$45))*Faktory!$D$10</f>
        <v>344835</v>
      </c>
      <c r="AJ101" s="262">
        <f t="shared" si="369"/>
        <v>344835</v>
      </c>
      <c r="AK101" s="298">
        <v>0</v>
      </c>
      <c r="AL101" s="299">
        <f>(AK71+AM71/2)*((AK50-AL50)*(1+$BR$45))*Faktory!$D$10</f>
        <v>344835</v>
      </c>
      <c r="AM101" s="262">
        <f t="shared" si="370"/>
        <v>344835</v>
      </c>
      <c r="AN101" s="298">
        <v>0</v>
      </c>
      <c r="AO101" s="299">
        <f>(AN71+AP71/2)*((AN50-AO50)*(1+$BR$45))*Faktory!$D$10</f>
        <v>344835</v>
      </c>
      <c r="AP101" s="262">
        <f t="shared" si="371"/>
        <v>344835</v>
      </c>
      <c r="AQ101" s="298">
        <v>0</v>
      </c>
      <c r="AR101" s="299">
        <f>(AQ71+AS71/2)*((AQ50-AR50)*(1+$BR$45))*Faktory!$D$10</f>
        <v>344835</v>
      </c>
      <c r="AS101" s="262">
        <f t="shared" si="372"/>
        <v>344835</v>
      </c>
      <c r="AT101" s="298">
        <v>0</v>
      </c>
      <c r="AU101" s="299">
        <f>(AT71+AV71/2)*((AT50-AU50)*(1+$BR$45))*Faktory!$D$10</f>
        <v>344835</v>
      </c>
      <c r="AV101" s="262">
        <f t="shared" si="373"/>
        <v>344835</v>
      </c>
      <c r="AW101" s="298">
        <v>0</v>
      </c>
      <c r="AX101" s="299">
        <f>(AW71+AY71/2)*((AW50-AX50)*(1+$BR$45))*Faktory!$D$10</f>
        <v>344835</v>
      </c>
      <c r="AY101" s="262">
        <f t="shared" si="374"/>
        <v>344835</v>
      </c>
      <c r="AZ101" s="298">
        <v>0</v>
      </c>
      <c r="BA101" s="299">
        <f>(AZ71+BB71/2)*((AZ50-BA50)*(1+$BR$45))*Faktory!$D$10</f>
        <v>344835</v>
      </c>
      <c r="BB101" s="262">
        <f t="shared" si="375"/>
        <v>344835</v>
      </c>
      <c r="BC101" s="298">
        <v>0</v>
      </c>
      <c r="BD101" s="299">
        <f>(BC71+BE71/2)*((BC50-BD50)*(1+$BR$45))*Faktory!$D$10</f>
        <v>344835</v>
      </c>
      <c r="BE101" s="262">
        <f t="shared" si="376"/>
        <v>344835</v>
      </c>
      <c r="BF101" s="298">
        <v>0</v>
      </c>
      <c r="BG101" s="299">
        <f>(BF71+BH71/2)*((BF50-BG50)*(1+$BR$45))*Faktory!$D$10</f>
        <v>344835</v>
      </c>
      <c r="BH101" s="262">
        <f t="shared" si="377"/>
        <v>344835</v>
      </c>
      <c r="BI101" s="298">
        <v>0</v>
      </c>
      <c r="BJ101" s="299">
        <f>(BI71+BK71/2)*((BI50-BJ50)*(1+$BR$45))*Faktory!$D$10</f>
        <v>344835</v>
      </c>
      <c r="BK101" s="262">
        <f t="shared" si="378"/>
        <v>344835</v>
      </c>
      <c r="BL101" s="298">
        <v>0</v>
      </c>
      <c r="BM101" s="299">
        <f>(BL71+BN71/2)*((BL50-BM50)*(1+$BR$45))*Faktory!$D$10</f>
        <v>344835</v>
      </c>
      <c r="BN101" s="262">
        <f t="shared" si="379"/>
        <v>344835</v>
      </c>
      <c r="BO101" s="298">
        <v>0</v>
      </c>
      <c r="BP101" s="299">
        <f>(BO71+BQ71/2)*((BO50-BP50)*(1+$BR$45))*Faktory!$D$10</f>
        <v>0</v>
      </c>
      <c r="BQ101" s="262">
        <f t="shared" si="380"/>
        <v>0</v>
      </c>
    </row>
    <row r="102" spans="1:69">
      <c r="A102" s="676"/>
      <c r="B102" s="678"/>
      <c r="C102" s="290" t="s">
        <v>31</v>
      </c>
      <c r="D102" s="291">
        <f t="shared" si="359"/>
        <v>0</v>
      </c>
      <c r="E102" s="292">
        <f t="shared" si="162"/>
        <v>7241535</v>
      </c>
      <c r="F102" s="293">
        <f t="shared" si="163"/>
        <v>7241535</v>
      </c>
      <c r="G102" s="298">
        <v>0</v>
      </c>
      <c r="H102" s="299">
        <f>(G72+I72/2)*((G51-H51)*(1+$BR$45))*Faktory!$D$10</f>
        <v>344835</v>
      </c>
      <c r="I102" s="262">
        <f t="shared" si="360"/>
        <v>344835</v>
      </c>
      <c r="J102" s="298">
        <v>0</v>
      </c>
      <c r="K102" s="299">
        <f>(J72+L72/2)*((J51-K51)*(1+$BR$45))*Faktory!$D$10</f>
        <v>344835</v>
      </c>
      <c r="L102" s="262">
        <f t="shared" si="361"/>
        <v>344835</v>
      </c>
      <c r="M102" s="298">
        <v>0</v>
      </c>
      <c r="N102" s="299">
        <f>(M72+O72/2)*((M51-N51)*(1+$BR$45))*Faktory!$D$10</f>
        <v>344835</v>
      </c>
      <c r="O102" s="262">
        <f t="shared" si="362"/>
        <v>344835</v>
      </c>
      <c r="P102" s="298">
        <v>0</v>
      </c>
      <c r="Q102" s="299">
        <f>(P72+R72/2)*((P51-Q51)*(1+$BR$45))*Faktory!$D$10</f>
        <v>344835</v>
      </c>
      <c r="R102" s="262">
        <f t="shared" si="363"/>
        <v>344835</v>
      </c>
      <c r="S102" s="298">
        <v>0</v>
      </c>
      <c r="T102" s="299">
        <f>(S72+U72/2)*((S51-T51)*(1+$BR$45))*Faktory!$D$10</f>
        <v>344835</v>
      </c>
      <c r="U102" s="262">
        <f t="shared" si="364"/>
        <v>344835</v>
      </c>
      <c r="V102" s="298">
        <v>0</v>
      </c>
      <c r="W102" s="299">
        <f>(V72+X72/2)*((V51-W51)*(1+$BR$45))*Faktory!$D$10</f>
        <v>344835</v>
      </c>
      <c r="X102" s="262">
        <f t="shared" si="365"/>
        <v>344835</v>
      </c>
      <c r="Y102" s="298">
        <v>0</v>
      </c>
      <c r="Z102" s="299">
        <f>(Y72+AA72/2)*((Y51-Z51)*(1+$BR$45))*Faktory!$D$10</f>
        <v>344835</v>
      </c>
      <c r="AA102" s="262">
        <f t="shared" si="366"/>
        <v>344835</v>
      </c>
      <c r="AB102" s="298">
        <v>0</v>
      </c>
      <c r="AC102" s="299">
        <f>(AB72+AD72/2)*((AB51-AC51)*(1+$BR$45))*Faktory!$D$10</f>
        <v>344835</v>
      </c>
      <c r="AD102" s="262">
        <f t="shared" si="367"/>
        <v>344835</v>
      </c>
      <c r="AE102" s="298">
        <v>0</v>
      </c>
      <c r="AF102" s="299">
        <f>(AE72+AG72/2)*((AE51-AF51)*(1+$BR$45))*Faktory!$D$10</f>
        <v>344835</v>
      </c>
      <c r="AG102" s="262">
        <f t="shared" si="368"/>
        <v>344835</v>
      </c>
      <c r="AH102" s="298">
        <v>0</v>
      </c>
      <c r="AI102" s="299">
        <f>(AH72+AJ72/2)*((AH51-AI51)*(1+$BR$45))*Faktory!$D$10</f>
        <v>344835</v>
      </c>
      <c r="AJ102" s="262">
        <f t="shared" si="369"/>
        <v>344835</v>
      </c>
      <c r="AK102" s="298">
        <v>0</v>
      </c>
      <c r="AL102" s="299">
        <f>(AK72+AM72/2)*((AK51-AL51)*(1+$BR$45))*Faktory!$D$10</f>
        <v>344835</v>
      </c>
      <c r="AM102" s="262">
        <f t="shared" si="370"/>
        <v>344835</v>
      </c>
      <c r="AN102" s="298">
        <v>0</v>
      </c>
      <c r="AO102" s="299">
        <f>(AN72+AP72/2)*((AN51-AO51)*(1+$BR$45))*Faktory!$D$10</f>
        <v>344835</v>
      </c>
      <c r="AP102" s="262">
        <f t="shared" si="371"/>
        <v>344835</v>
      </c>
      <c r="AQ102" s="298">
        <v>0</v>
      </c>
      <c r="AR102" s="299">
        <f>(AQ72+AS72/2)*((AQ51-AR51)*(1+$BR$45))*Faktory!$D$10</f>
        <v>344835</v>
      </c>
      <c r="AS102" s="262">
        <f t="shared" si="372"/>
        <v>344835</v>
      </c>
      <c r="AT102" s="298">
        <v>0</v>
      </c>
      <c r="AU102" s="299">
        <f>(AT72+AV72/2)*((AT51-AU51)*(1+$BR$45))*Faktory!$D$10</f>
        <v>344835</v>
      </c>
      <c r="AV102" s="262">
        <f t="shared" si="373"/>
        <v>344835</v>
      </c>
      <c r="AW102" s="298">
        <v>0</v>
      </c>
      <c r="AX102" s="299">
        <f>(AW72+AY72/2)*((AW51-AX51)*(1+$BR$45))*Faktory!$D$10</f>
        <v>344835</v>
      </c>
      <c r="AY102" s="262">
        <f t="shared" si="374"/>
        <v>344835</v>
      </c>
      <c r="AZ102" s="298">
        <v>0</v>
      </c>
      <c r="BA102" s="299">
        <f>(AZ72+BB72/2)*((AZ51-BA51)*(1+$BR$45))*Faktory!$D$10</f>
        <v>344835</v>
      </c>
      <c r="BB102" s="262">
        <f t="shared" si="375"/>
        <v>344835</v>
      </c>
      <c r="BC102" s="298">
        <v>0</v>
      </c>
      <c r="BD102" s="299">
        <f>(BC72+BE72/2)*((BC51-BD51)*(1+$BR$45))*Faktory!$D$10</f>
        <v>344835</v>
      </c>
      <c r="BE102" s="262">
        <f t="shared" si="376"/>
        <v>344835</v>
      </c>
      <c r="BF102" s="298">
        <v>0</v>
      </c>
      <c r="BG102" s="299">
        <f>(BF72+BH72/2)*((BF51-BG51)*(1+$BR$45))*Faktory!$D$10</f>
        <v>344835</v>
      </c>
      <c r="BH102" s="262">
        <f t="shared" si="377"/>
        <v>344835</v>
      </c>
      <c r="BI102" s="298">
        <v>0</v>
      </c>
      <c r="BJ102" s="299">
        <f>(BI72+BK72/2)*((BI51-BJ51)*(1+$BR$45))*Faktory!$D$10</f>
        <v>344835</v>
      </c>
      <c r="BK102" s="262">
        <f t="shared" si="378"/>
        <v>344835</v>
      </c>
      <c r="BL102" s="298">
        <v>0</v>
      </c>
      <c r="BM102" s="299">
        <f>(BL72+BN72/2)*((BL51-BM51)*(1+$BR$45))*Faktory!$D$10</f>
        <v>344835</v>
      </c>
      <c r="BN102" s="262">
        <f t="shared" si="379"/>
        <v>344835</v>
      </c>
      <c r="BO102" s="298">
        <v>0</v>
      </c>
      <c r="BP102" s="299">
        <f>(BO72+BQ72/2)*((BO51-BP51)*(1+$BR$45))*Faktory!$D$10</f>
        <v>0</v>
      </c>
      <c r="BQ102" s="262">
        <f t="shared" si="380"/>
        <v>0</v>
      </c>
    </row>
    <row r="103" spans="1:69">
      <c r="A103" s="676"/>
      <c r="B103" s="678"/>
      <c r="C103" s="290" t="s">
        <v>32</v>
      </c>
      <c r="D103" s="291">
        <f t="shared" si="359"/>
        <v>0</v>
      </c>
      <c r="E103" s="292">
        <f t="shared" si="162"/>
        <v>7241535</v>
      </c>
      <c r="F103" s="293">
        <f t="shared" si="163"/>
        <v>7241535</v>
      </c>
      <c r="G103" s="298">
        <v>0</v>
      </c>
      <c r="H103" s="299">
        <f>(G73+I73/2)*((G52-H52)*(1+$BR$45))*Faktory!$D$10</f>
        <v>344835</v>
      </c>
      <c r="I103" s="262">
        <f t="shared" si="360"/>
        <v>344835</v>
      </c>
      <c r="J103" s="298">
        <v>0</v>
      </c>
      <c r="K103" s="299">
        <f>(J73+L73/2)*((J52-K52)*(1+$BR$45))*Faktory!$D$10</f>
        <v>344835</v>
      </c>
      <c r="L103" s="262">
        <f t="shared" si="361"/>
        <v>344835</v>
      </c>
      <c r="M103" s="298">
        <v>0</v>
      </c>
      <c r="N103" s="299">
        <f>(M73+O73/2)*((M52-N52)*(1+$BR$45))*Faktory!$D$10</f>
        <v>344835</v>
      </c>
      <c r="O103" s="262">
        <f t="shared" si="362"/>
        <v>344835</v>
      </c>
      <c r="P103" s="298">
        <v>0</v>
      </c>
      <c r="Q103" s="299">
        <f>(P73+R73/2)*((P52-Q52)*(1+$BR$45))*Faktory!$D$10</f>
        <v>344835</v>
      </c>
      <c r="R103" s="262">
        <f t="shared" si="363"/>
        <v>344835</v>
      </c>
      <c r="S103" s="298">
        <v>0</v>
      </c>
      <c r="T103" s="299">
        <f>(S73+U73/2)*((S52-T52)*(1+$BR$45))*Faktory!$D$10</f>
        <v>344835</v>
      </c>
      <c r="U103" s="262">
        <f t="shared" si="364"/>
        <v>344835</v>
      </c>
      <c r="V103" s="298">
        <v>0</v>
      </c>
      <c r="W103" s="299">
        <f>(V73+X73/2)*((V52-W52)*(1+$BR$45))*Faktory!$D$10</f>
        <v>344835</v>
      </c>
      <c r="X103" s="262">
        <f t="shared" si="365"/>
        <v>344835</v>
      </c>
      <c r="Y103" s="298">
        <v>0</v>
      </c>
      <c r="Z103" s="299">
        <f>(Y73+AA73/2)*((Y52-Z52)*(1+$BR$45))*Faktory!$D$10</f>
        <v>344835</v>
      </c>
      <c r="AA103" s="262">
        <f t="shared" si="366"/>
        <v>344835</v>
      </c>
      <c r="AB103" s="298">
        <v>0</v>
      </c>
      <c r="AC103" s="299">
        <f>(AB73+AD73/2)*((AB52-AC52)*(1+$BR$45))*Faktory!$D$10</f>
        <v>344835</v>
      </c>
      <c r="AD103" s="262">
        <f t="shared" si="367"/>
        <v>344835</v>
      </c>
      <c r="AE103" s="298">
        <v>0</v>
      </c>
      <c r="AF103" s="299">
        <f>(AE73+AG73/2)*((AE52-AF52)*(1+$BR$45))*Faktory!$D$10</f>
        <v>344835</v>
      </c>
      <c r="AG103" s="262">
        <f t="shared" si="368"/>
        <v>344835</v>
      </c>
      <c r="AH103" s="298">
        <v>0</v>
      </c>
      <c r="AI103" s="299">
        <f>(AH73+AJ73/2)*((AH52-AI52)*(1+$BR$45))*Faktory!$D$10</f>
        <v>344835</v>
      </c>
      <c r="AJ103" s="262">
        <f t="shared" si="369"/>
        <v>344835</v>
      </c>
      <c r="AK103" s="298">
        <v>0</v>
      </c>
      <c r="AL103" s="299">
        <f>(AK73+AM73/2)*((AK52-AL52)*(1+$BR$45))*Faktory!$D$10</f>
        <v>344835</v>
      </c>
      <c r="AM103" s="262">
        <f t="shared" si="370"/>
        <v>344835</v>
      </c>
      <c r="AN103" s="298">
        <v>0</v>
      </c>
      <c r="AO103" s="299">
        <f>(AN73+AP73/2)*((AN52-AO52)*(1+$BR$45))*Faktory!$D$10</f>
        <v>344835</v>
      </c>
      <c r="AP103" s="262">
        <f t="shared" si="371"/>
        <v>344835</v>
      </c>
      <c r="AQ103" s="298">
        <v>0</v>
      </c>
      <c r="AR103" s="299">
        <f>(AQ73+AS73/2)*((AQ52-AR52)*(1+$BR$45))*Faktory!$D$10</f>
        <v>344835</v>
      </c>
      <c r="AS103" s="262">
        <f t="shared" si="372"/>
        <v>344835</v>
      </c>
      <c r="AT103" s="298">
        <v>0</v>
      </c>
      <c r="AU103" s="299">
        <f>(AT73+AV73/2)*((AT52-AU52)*(1+$BR$45))*Faktory!$D$10</f>
        <v>344835</v>
      </c>
      <c r="AV103" s="262">
        <f t="shared" si="373"/>
        <v>344835</v>
      </c>
      <c r="AW103" s="298">
        <v>0</v>
      </c>
      <c r="AX103" s="299">
        <f>(AW73+AY73/2)*((AW52-AX52)*(1+$BR$45))*Faktory!$D$10</f>
        <v>344835</v>
      </c>
      <c r="AY103" s="262">
        <f t="shared" si="374"/>
        <v>344835</v>
      </c>
      <c r="AZ103" s="298">
        <v>0</v>
      </c>
      <c r="BA103" s="299">
        <f>(AZ73+BB73/2)*((AZ52-BA52)*(1+$BR$45))*Faktory!$D$10</f>
        <v>344835</v>
      </c>
      <c r="BB103" s="262">
        <f t="shared" si="375"/>
        <v>344835</v>
      </c>
      <c r="BC103" s="298">
        <v>0</v>
      </c>
      <c r="BD103" s="299">
        <f>(BC73+BE73/2)*((BC52-BD52)*(1+$BR$45))*Faktory!$D$10</f>
        <v>344835</v>
      </c>
      <c r="BE103" s="262">
        <f t="shared" si="376"/>
        <v>344835</v>
      </c>
      <c r="BF103" s="298">
        <v>0</v>
      </c>
      <c r="BG103" s="299">
        <f>(BF73+BH73/2)*((BF52-BG52)*(1+$BR$45))*Faktory!$D$10</f>
        <v>344835</v>
      </c>
      <c r="BH103" s="262">
        <f t="shared" si="377"/>
        <v>344835</v>
      </c>
      <c r="BI103" s="298">
        <v>0</v>
      </c>
      <c r="BJ103" s="299">
        <f>(BI73+BK73/2)*((BI52-BJ52)*(1+$BR$45))*Faktory!$D$10</f>
        <v>344835</v>
      </c>
      <c r="BK103" s="262">
        <f t="shared" si="378"/>
        <v>344835</v>
      </c>
      <c r="BL103" s="298">
        <v>0</v>
      </c>
      <c r="BM103" s="299">
        <f>(BL73+BN73/2)*((BL52-BM52)*(1+$BR$45))*Faktory!$D$10</f>
        <v>344835</v>
      </c>
      <c r="BN103" s="262">
        <f t="shared" si="379"/>
        <v>344835</v>
      </c>
      <c r="BO103" s="298">
        <v>0</v>
      </c>
      <c r="BP103" s="299">
        <f>(BO73+BQ73/2)*((BO52-BP52)*(1+$BR$45))*Faktory!$D$10</f>
        <v>0</v>
      </c>
      <c r="BQ103" s="262">
        <f t="shared" si="380"/>
        <v>0</v>
      </c>
    </row>
    <row r="104" spans="1:69">
      <c r="A104" s="676"/>
      <c r="B104" s="678"/>
      <c r="C104" s="290" t="s">
        <v>33</v>
      </c>
      <c r="D104" s="291">
        <f t="shared" si="359"/>
        <v>0</v>
      </c>
      <c r="E104" s="292">
        <f t="shared" si="162"/>
        <v>7241535</v>
      </c>
      <c r="F104" s="293">
        <f t="shared" si="163"/>
        <v>7241535</v>
      </c>
      <c r="G104" s="298">
        <v>0</v>
      </c>
      <c r="H104" s="299">
        <f>(G74+I74/2)*((G53-H53)*(1+$BR$45))*Faktory!$D$10</f>
        <v>344835</v>
      </c>
      <c r="I104" s="262">
        <f t="shared" si="360"/>
        <v>344835</v>
      </c>
      <c r="J104" s="298">
        <v>0</v>
      </c>
      <c r="K104" s="299">
        <f>(J74+L74/2)*((J53-K53)*(1+$BR$45))*Faktory!$D$10</f>
        <v>344835</v>
      </c>
      <c r="L104" s="262">
        <f t="shared" si="361"/>
        <v>344835</v>
      </c>
      <c r="M104" s="298">
        <v>0</v>
      </c>
      <c r="N104" s="299">
        <f>(M74+O74/2)*((M53-N53)*(1+$BR$45))*Faktory!$D$10</f>
        <v>344835</v>
      </c>
      <c r="O104" s="262">
        <f t="shared" si="362"/>
        <v>344835</v>
      </c>
      <c r="P104" s="298">
        <v>0</v>
      </c>
      <c r="Q104" s="299">
        <f>(P74+R74/2)*((P53-Q53)*(1+$BR$45))*Faktory!$D$10</f>
        <v>344835</v>
      </c>
      <c r="R104" s="262">
        <f t="shared" si="363"/>
        <v>344835</v>
      </c>
      <c r="S104" s="298">
        <v>0</v>
      </c>
      <c r="T104" s="299">
        <f>(S74+U74/2)*((S53-T53)*(1+$BR$45))*Faktory!$D$10</f>
        <v>344835</v>
      </c>
      <c r="U104" s="262">
        <f t="shared" si="364"/>
        <v>344835</v>
      </c>
      <c r="V104" s="298">
        <v>0</v>
      </c>
      <c r="W104" s="299">
        <f>(V74+X74/2)*((V53-W53)*(1+$BR$45))*Faktory!$D$10</f>
        <v>344835</v>
      </c>
      <c r="X104" s="262">
        <f t="shared" si="365"/>
        <v>344835</v>
      </c>
      <c r="Y104" s="298">
        <v>0</v>
      </c>
      <c r="Z104" s="299">
        <f>(Y74+AA74/2)*((Y53-Z53)*(1+$BR$45))*Faktory!$D$10</f>
        <v>344835</v>
      </c>
      <c r="AA104" s="262">
        <f t="shared" si="366"/>
        <v>344835</v>
      </c>
      <c r="AB104" s="298">
        <v>0</v>
      </c>
      <c r="AC104" s="299">
        <f>(AB74+AD74/2)*((AB53-AC53)*(1+$BR$45))*Faktory!$D$10</f>
        <v>344835</v>
      </c>
      <c r="AD104" s="262">
        <f t="shared" si="367"/>
        <v>344835</v>
      </c>
      <c r="AE104" s="298">
        <v>0</v>
      </c>
      <c r="AF104" s="299">
        <f>(AE74+AG74/2)*((AE53-AF53)*(1+$BR$45))*Faktory!$D$10</f>
        <v>344835</v>
      </c>
      <c r="AG104" s="262">
        <f t="shared" si="368"/>
        <v>344835</v>
      </c>
      <c r="AH104" s="298">
        <v>0</v>
      </c>
      <c r="AI104" s="299">
        <f>(AH74+AJ74/2)*((AH53-AI53)*(1+$BR$45))*Faktory!$D$10</f>
        <v>344835</v>
      </c>
      <c r="AJ104" s="262">
        <f t="shared" si="369"/>
        <v>344835</v>
      </c>
      <c r="AK104" s="298">
        <v>0</v>
      </c>
      <c r="AL104" s="299">
        <f>(AK74+AM74/2)*((AK53-AL53)*(1+$BR$45))*Faktory!$D$10</f>
        <v>344835</v>
      </c>
      <c r="AM104" s="262">
        <f t="shared" si="370"/>
        <v>344835</v>
      </c>
      <c r="AN104" s="298">
        <v>0</v>
      </c>
      <c r="AO104" s="299">
        <f>(AN74+AP74/2)*((AN53-AO53)*(1+$BR$45))*Faktory!$D$10</f>
        <v>344835</v>
      </c>
      <c r="AP104" s="262">
        <f t="shared" si="371"/>
        <v>344835</v>
      </c>
      <c r="AQ104" s="298">
        <v>0</v>
      </c>
      <c r="AR104" s="299">
        <f>(AQ74+AS74/2)*((AQ53-AR53)*(1+$BR$45))*Faktory!$D$10</f>
        <v>344835</v>
      </c>
      <c r="AS104" s="262">
        <f t="shared" si="372"/>
        <v>344835</v>
      </c>
      <c r="AT104" s="298">
        <v>0</v>
      </c>
      <c r="AU104" s="299">
        <f>(AT74+AV74/2)*((AT53-AU53)*(1+$BR$45))*Faktory!$D$10</f>
        <v>344835</v>
      </c>
      <c r="AV104" s="262">
        <f t="shared" si="373"/>
        <v>344835</v>
      </c>
      <c r="AW104" s="298">
        <v>0</v>
      </c>
      <c r="AX104" s="299">
        <f>(AW74+AY74/2)*((AW53-AX53)*(1+$BR$45))*Faktory!$D$10</f>
        <v>344835</v>
      </c>
      <c r="AY104" s="262">
        <f t="shared" si="374"/>
        <v>344835</v>
      </c>
      <c r="AZ104" s="298">
        <v>0</v>
      </c>
      <c r="BA104" s="299">
        <f>(AZ74+BB74/2)*((AZ53-BA53)*(1+$BR$45))*Faktory!$D$10</f>
        <v>344835</v>
      </c>
      <c r="BB104" s="262">
        <f t="shared" si="375"/>
        <v>344835</v>
      </c>
      <c r="BC104" s="298">
        <v>0</v>
      </c>
      <c r="BD104" s="299">
        <f>(BC74+BE74/2)*((BC53-BD53)*(1+$BR$45))*Faktory!$D$10</f>
        <v>344835</v>
      </c>
      <c r="BE104" s="262">
        <f t="shared" si="376"/>
        <v>344835</v>
      </c>
      <c r="BF104" s="298">
        <v>0</v>
      </c>
      <c r="BG104" s="299">
        <f>(BF74+BH74/2)*((BF53-BG53)*(1+$BR$45))*Faktory!$D$10</f>
        <v>344835</v>
      </c>
      <c r="BH104" s="262">
        <f t="shared" si="377"/>
        <v>344835</v>
      </c>
      <c r="BI104" s="298">
        <v>0</v>
      </c>
      <c r="BJ104" s="299">
        <f>(BI74+BK74/2)*((BI53-BJ53)*(1+$BR$45))*Faktory!$D$10</f>
        <v>344835</v>
      </c>
      <c r="BK104" s="262">
        <f t="shared" si="378"/>
        <v>344835</v>
      </c>
      <c r="BL104" s="298">
        <v>0</v>
      </c>
      <c r="BM104" s="299">
        <f>(BL74+BN74/2)*((BL53-BM53)*(1+$BR$45))*Faktory!$D$10</f>
        <v>344835</v>
      </c>
      <c r="BN104" s="262">
        <f t="shared" si="379"/>
        <v>344835</v>
      </c>
      <c r="BO104" s="298">
        <v>0</v>
      </c>
      <c r="BP104" s="299">
        <f>(BO74+BQ74/2)*((BO53-BP53)*(1+$BR$45))*Faktory!$D$10</f>
        <v>0</v>
      </c>
      <c r="BQ104" s="262">
        <f t="shared" si="380"/>
        <v>0</v>
      </c>
    </row>
    <row r="105" spans="1:69" ht="15.75" thickBot="1">
      <c r="A105" s="677"/>
      <c r="B105" s="679"/>
      <c r="C105" s="300" t="s">
        <v>34</v>
      </c>
      <c r="D105" s="301">
        <f t="shared" si="359"/>
        <v>0</v>
      </c>
      <c r="E105" s="302">
        <f t="shared" si="162"/>
        <v>7241535</v>
      </c>
      <c r="F105" s="303">
        <f t="shared" si="163"/>
        <v>7241535</v>
      </c>
      <c r="G105" s="304">
        <v>0</v>
      </c>
      <c r="H105" s="305">
        <f>(G75+I75/2)*((G54-H54)*(1+$BR$45))*Faktory!$D$10</f>
        <v>344835</v>
      </c>
      <c r="I105" s="267">
        <f t="shared" si="360"/>
        <v>344835</v>
      </c>
      <c r="J105" s="304">
        <v>0</v>
      </c>
      <c r="K105" s="305">
        <f>(J75+L75/2)*((J54-K54)*(1+$BR$45))*Faktory!$D$10</f>
        <v>344835</v>
      </c>
      <c r="L105" s="267">
        <f t="shared" si="361"/>
        <v>344835</v>
      </c>
      <c r="M105" s="304">
        <v>0</v>
      </c>
      <c r="N105" s="305">
        <f>(M75+O75/2)*((M54-N54)*(1+$BR$45))*Faktory!$D$10</f>
        <v>344835</v>
      </c>
      <c r="O105" s="267">
        <f t="shared" si="362"/>
        <v>344835</v>
      </c>
      <c r="P105" s="304">
        <v>0</v>
      </c>
      <c r="Q105" s="305">
        <f>(P75+R75/2)*((P54-Q54)*(1+$BR$45))*Faktory!$D$10</f>
        <v>344835</v>
      </c>
      <c r="R105" s="267">
        <f t="shared" si="363"/>
        <v>344835</v>
      </c>
      <c r="S105" s="304">
        <v>0</v>
      </c>
      <c r="T105" s="305">
        <f>(S75+U75/2)*((S54-T54)*(1+$BR$45))*Faktory!$D$10</f>
        <v>344835</v>
      </c>
      <c r="U105" s="267">
        <f t="shared" si="364"/>
        <v>344835</v>
      </c>
      <c r="V105" s="304">
        <v>0</v>
      </c>
      <c r="W105" s="305">
        <f>(V75+X75/2)*((V54-W54)*(1+$BR$45))*Faktory!$D$10</f>
        <v>344835</v>
      </c>
      <c r="X105" s="267">
        <f t="shared" si="365"/>
        <v>344835</v>
      </c>
      <c r="Y105" s="304">
        <v>0</v>
      </c>
      <c r="Z105" s="305">
        <f>(Y75+AA75/2)*((Y54-Z54)*(1+$BR$45))*Faktory!$D$10</f>
        <v>344835</v>
      </c>
      <c r="AA105" s="267">
        <f t="shared" si="366"/>
        <v>344835</v>
      </c>
      <c r="AB105" s="304">
        <v>0</v>
      </c>
      <c r="AC105" s="305">
        <f>(AB75+AD75/2)*((AB54-AC54)*(1+$BR$45))*Faktory!$D$10</f>
        <v>344835</v>
      </c>
      <c r="AD105" s="267">
        <f t="shared" si="367"/>
        <v>344835</v>
      </c>
      <c r="AE105" s="304">
        <v>0</v>
      </c>
      <c r="AF105" s="305">
        <f>(AE75+AG75/2)*((AE54-AF54)*(1+$BR$45))*Faktory!$D$10</f>
        <v>344835</v>
      </c>
      <c r="AG105" s="267">
        <f t="shared" si="368"/>
        <v>344835</v>
      </c>
      <c r="AH105" s="304">
        <v>0</v>
      </c>
      <c r="AI105" s="305">
        <f>(AH75+AJ75/2)*((AH54-AI54)*(1+$BR$45))*Faktory!$D$10</f>
        <v>344835</v>
      </c>
      <c r="AJ105" s="267">
        <f t="shared" si="369"/>
        <v>344835</v>
      </c>
      <c r="AK105" s="304">
        <v>0</v>
      </c>
      <c r="AL105" s="305">
        <f>(AK75+AM75/2)*((AK54-AL54)*(1+$BR$45))*Faktory!$D$10</f>
        <v>344835</v>
      </c>
      <c r="AM105" s="267">
        <f t="shared" si="370"/>
        <v>344835</v>
      </c>
      <c r="AN105" s="304">
        <v>0</v>
      </c>
      <c r="AO105" s="305">
        <f>(AN75+AP75/2)*((AN54-AO54)*(1+$BR$45))*Faktory!$D$10</f>
        <v>344835</v>
      </c>
      <c r="AP105" s="267">
        <f t="shared" si="371"/>
        <v>344835</v>
      </c>
      <c r="AQ105" s="304">
        <v>0</v>
      </c>
      <c r="AR105" s="305">
        <f>(AQ75+AS75/2)*((AQ54-AR54)*(1+$BR$45))*Faktory!$D$10</f>
        <v>344835</v>
      </c>
      <c r="AS105" s="267">
        <f t="shared" si="372"/>
        <v>344835</v>
      </c>
      <c r="AT105" s="304">
        <v>0</v>
      </c>
      <c r="AU105" s="305">
        <f>(AT75+AV75/2)*((AT54-AU54)*(1+$BR$45))*Faktory!$D$10</f>
        <v>344835</v>
      </c>
      <c r="AV105" s="267">
        <f t="shared" si="373"/>
        <v>344835</v>
      </c>
      <c r="AW105" s="304">
        <v>0</v>
      </c>
      <c r="AX105" s="305">
        <f>(AW75+AY75/2)*((AW54-AX54)*(1+$BR$45))*Faktory!$D$10</f>
        <v>344835</v>
      </c>
      <c r="AY105" s="267">
        <f t="shared" si="374"/>
        <v>344835</v>
      </c>
      <c r="AZ105" s="304">
        <v>0</v>
      </c>
      <c r="BA105" s="305">
        <f>(AZ75+BB75/2)*((AZ54-BA54)*(1+$BR$45))*Faktory!$D$10</f>
        <v>344835</v>
      </c>
      <c r="BB105" s="267">
        <f t="shared" si="375"/>
        <v>344835</v>
      </c>
      <c r="BC105" s="304">
        <v>0</v>
      </c>
      <c r="BD105" s="305">
        <f>(BC75+BE75/2)*((BC54-BD54)*(1+$BR$45))*Faktory!$D$10</f>
        <v>344835</v>
      </c>
      <c r="BE105" s="267">
        <f t="shared" si="376"/>
        <v>344835</v>
      </c>
      <c r="BF105" s="304">
        <v>0</v>
      </c>
      <c r="BG105" s="305">
        <f>(BF75+BH75/2)*((BF54-BG54)*(1+$BR$45))*Faktory!$D$10</f>
        <v>344835</v>
      </c>
      <c r="BH105" s="267">
        <f t="shared" si="377"/>
        <v>344835</v>
      </c>
      <c r="BI105" s="304">
        <v>0</v>
      </c>
      <c r="BJ105" s="305">
        <f>(BI75+BK75/2)*((BI54-BJ54)*(1+$BR$45))*Faktory!$D$10</f>
        <v>344835</v>
      </c>
      <c r="BK105" s="267">
        <f t="shared" si="378"/>
        <v>344835</v>
      </c>
      <c r="BL105" s="304">
        <v>0</v>
      </c>
      <c r="BM105" s="305">
        <f>(BL75+BN75/2)*((BL54-BM54)*(1+$BR$45))*Faktory!$D$10</f>
        <v>344835</v>
      </c>
      <c r="BN105" s="267">
        <f t="shared" si="379"/>
        <v>344835</v>
      </c>
      <c r="BO105" s="304">
        <v>0</v>
      </c>
      <c r="BP105" s="305">
        <f>(BO75+BQ75/2)*((BO54-BP54)*(1+$BR$45))*Faktory!$D$10</f>
        <v>0</v>
      </c>
      <c r="BQ105" s="267">
        <f t="shared" si="380"/>
        <v>0</v>
      </c>
    </row>
    <row r="106" spans="1:69">
      <c r="A106" s="676" t="s">
        <v>150</v>
      </c>
      <c r="B106" s="678" t="s">
        <v>13</v>
      </c>
      <c r="C106" s="290" t="s">
        <v>25</v>
      </c>
      <c r="D106" s="291">
        <f t="shared" si="359"/>
        <v>0</v>
      </c>
      <c r="E106" s="292">
        <f t="shared" si="162"/>
        <v>0</v>
      </c>
      <c r="F106" s="293">
        <f>E106-D106</f>
        <v>0</v>
      </c>
      <c r="G106" s="306">
        <f t="shared" ref="G106:H115" si="381">G5*G15</f>
        <v>0</v>
      </c>
      <c r="H106" s="307">
        <f t="shared" si="381"/>
        <v>0</v>
      </c>
      <c r="I106" s="257">
        <f>H106-G106</f>
        <v>0</v>
      </c>
      <c r="J106" s="306">
        <f t="shared" ref="J106:K106" si="382">J5*J15</f>
        <v>0</v>
      </c>
      <c r="K106" s="307">
        <f t="shared" si="382"/>
        <v>0</v>
      </c>
      <c r="L106" s="257">
        <f>K106-J106</f>
        <v>0</v>
      </c>
      <c r="M106" s="306">
        <f t="shared" ref="M106:N106" si="383">M5*M15</f>
        <v>0</v>
      </c>
      <c r="N106" s="307">
        <f t="shared" si="383"/>
        <v>0</v>
      </c>
      <c r="O106" s="257">
        <f>N106-M106</f>
        <v>0</v>
      </c>
      <c r="P106" s="306">
        <f t="shared" ref="P106:Q106" si="384">P5*P15</f>
        <v>0</v>
      </c>
      <c r="Q106" s="307">
        <f t="shared" si="384"/>
        <v>0</v>
      </c>
      <c r="R106" s="257">
        <f t="shared" ref="R106:R115" si="385">Q106-P106</f>
        <v>0</v>
      </c>
      <c r="S106" s="306">
        <f t="shared" ref="S106:T106" si="386">S5*S15</f>
        <v>0</v>
      </c>
      <c r="T106" s="307">
        <f t="shared" si="386"/>
        <v>0</v>
      </c>
      <c r="U106" s="257">
        <f t="shared" ref="U106:U115" si="387">T106-S106</f>
        <v>0</v>
      </c>
      <c r="V106" s="306">
        <f t="shared" ref="V106:W106" si="388">V5*V15</f>
        <v>0</v>
      </c>
      <c r="W106" s="307">
        <f t="shared" si="388"/>
        <v>0</v>
      </c>
      <c r="X106" s="257">
        <f t="shared" ref="X106:X115" si="389">W106-V106</f>
        <v>0</v>
      </c>
      <c r="Y106" s="306">
        <f t="shared" ref="Y106:Z106" si="390">Y5*Y15</f>
        <v>0</v>
      </c>
      <c r="Z106" s="307">
        <f t="shared" si="390"/>
        <v>0</v>
      </c>
      <c r="AA106" s="257">
        <f>Z106-Y106</f>
        <v>0</v>
      </c>
      <c r="AB106" s="306">
        <f t="shared" ref="AB106:AC106" si="391">AB5*AB15</f>
        <v>0</v>
      </c>
      <c r="AC106" s="307">
        <f t="shared" si="391"/>
        <v>0</v>
      </c>
      <c r="AD106" s="257">
        <f>AC106-AB106</f>
        <v>0</v>
      </c>
      <c r="AE106" s="306">
        <f t="shared" ref="AE106:AF106" si="392">AE5*AE15</f>
        <v>0</v>
      </c>
      <c r="AF106" s="307">
        <f t="shared" si="392"/>
        <v>0</v>
      </c>
      <c r="AG106" s="257">
        <f t="shared" ref="AG106:AG115" si="393">AF106-AE106</f>
        <v>0</v>
      </c>
      <c r="AH106" s="306">
        <f t="shared" ref="AH106:AI106" si="394">AH5*AH15</f>
        <v>0</v>
      </c>
      <c r="AI106" s="307">
        <f t="shared" si="394"/>
        <v>0</v>
      </c>
      <c r="AJ106" s="257">
        <f t="shared" ref="AJ106:AJ115" si="395">AI106-AH106</f>
        <v>0</v>
      </c>
      <c r="AK106" s="306">
        <f t="shared" ref="AK106:AL106" si="396">AK5*AK15</f>
        <v>0</v>
      </c>
      <c r="AL106" s="307">
        <f t="shared" si="396"/>
        <v>0</v>
      </c>
      <c r="AM106" s="257">
        <f t="shared" ref="AM106:AM115" si="397">AL106-AK106</f>
        <v>0</v>
      </c>
      <c r="AN106" s="306">
        <f t="shared" ref="AN106:AO106" si="398">AN5*AN15</f>
        <v>0</v>
      </c>
      <c r="AO106" s="307">
        <f t="shared" si="398"/>
        <v>0</v>
      </c>
      <c r="AP106" s="257">
        <f>AO106-AN106</f>
        <v>0</v>
      </c>
      <c r="AQ106" s="306">
        <f t="shared" ref="AQ106:AR106" si="399">AQ5*AQ15</f>
        <v>0</v>
      </c>
      <c r="AR106" s="307">
        <f t="shared" si="399"/>
        <v>0</v>
      </c>
      <c r="AS106" s="257">
        <f>AR106-AQ106</f>
        <v>0</v>
      </c>
      <c r="AT106" s="306">
        <f t="shared" ref="AT106:AU106" si="400">AT5*AT15</f>
        <v>0</v>
      </c>
      <c r="AU106" s="307">
        <f t="shared" si="400"/>
        <v>0</v>
      </c>
      <c r="AV106" s="257">
        <f t="shared" ref="AV106:AV115" si="401">AU106-AT106</f>
        <v>0</v>
      </c>
      <c r="AW106" s="306">
        <f t="shared" ref="AW106:AX106" si="402">AW5*AW15</f>
        <v>0</v>
      </c>
      <c r="AX106" s="307">
        <f t="shared" si="402"/>
        <v>0</v>
      </c>
      <c r="AY106" s="257">
        <f t="shared" ref="AY106:AY115" si="403">AX106-AW106</f>
        <v>0</v>
      </c>
      <c r="AZ106" s="306">
        <f t="shared" ref="AZ106:BA106" si="404">AZ5*AZ15</f>
        <v>0</v>
      </c>
      <c r="BA106" s="307">
        <f t="shared" si="404"/>
        <v>0</v>
      </c>
      <c r="BB106" s="257">
        <f t="shared" ref="BB106:BB115" si="405">BA106-AZ106</f>
        <v>0</v>
      </c>
      <c r="BC106" s="306">
        <f t="shared" ref="BC106:BD106" si="406">BC5*BC15</f>
        <v>0</v>
      </c>
      <c r="BD106" s="307">
        <f t="shared" si="406"/>
        <v>0</v>
      </c>
      <c r="BE106" s="257">
        <f>BD106-BC106</f>
        <v>0</v>
      </c>
      <c r="BF106" s="306">
        <f t="shared" ref="BF106:BG106" si="407">BF5*BF15</f>
        <v>0</v>
      </c>
      <c r="BG106" s="307">
        <f t="shared" si="407"/>
        <v>0</v>
      </c>
      <c r="BH106" s="257">
        <f>BG106-BF106</f>
        <v>0</v>
      </c>
      <c r="BI106" s="306">
        <f t="shared" ref="BI106:BJ115" si="408">BI5*BI15</f>
        <v>0</v>
      </c>
      <c r="BJ106" s="307">
        <f t="shared" si="408"/>
        <v>0</v>
      </c>
      <c r="BK106" s="257">
        <f t="shared" ref="BK106:BK115" si="409">BJ106-BI106</f>
        <v>0</v>
      </c>
      <c r="BL106" s="306">
        <f t="shared" ref="BL106:BM115" si="410">BL5*BL15</f>
        <v>0</v>
      </c>
      <c r="BM106" s="307">
        <f t="shared" si="410"/>
        <v>0</v>
      </c>
      <c r="BN106" s="257">
        <f t="shared" ref="BN106:BN115" si="411">BM106-BL106</f>
        <v>0</v>
      </c>
      <c r="BO106" s="306">
        <f t="shared" ref="BO106:BP115" si="412">BO5*BO15</f>
        <v>0</v>
      </c>
      <c r="BP106" s="307">
        <f t="shared" si="412"/>
        <v>0</v>
      </c>
      <c r="BQ106" s="257">
        <f t="shared" ref="BQ106:BQ115" si="413">BP106-BO106</f>
        <v>0</v>
      </c>
    </row>
    <row r="107" spans="1:69">
      <c r="A107" s="676"/>
      <c r="B107" s="678"/>
      <c r="C107" s="290" t="s">
        <v>26</v>
      </c>
      <c r="D107" s="291">
        <f t="shared" si="359"/>
        <v>0</v>
      </c>
      <c r="E107" s="292">
        <f t="shared" si="162"/>
        <v>0</v>
      </c>
      <c r="F107" s="293">
        <f t="shared" ref="F107:F115" si="414">E107-D107</f>
        <v>0</v>
      </c>
      <c r="G107" s="298">
        <f t="shared" si="381"/>
        <v>0</v>
      </c>
      <c r="H107" s="299">
        <f t="shared" si="381"/>
        <v>0</v>
      </c>
      <c r="I107" s="262">
        <f t="shared" ref="I107:I115" si="415">H107-G107</f>
        <v>0</v>
      </c>
      <c r="J107" s="298">
        <f t="shared" ref="J107:K107" si="416">J6*J16</f>
        <v>0</v>
      </c>
      <c r="K107" s="299">
        <f t="shared" si="416"/>
        <v>0</v>
      </c>
      <c r="L107" s="262">
        <f t="shared" ref="L107:L115" si="417">K107-J107</f>
        <v>0</v>
      </c>
      <c r="M107" s="298">
        <f t="shared" ref="M107:N107" si="418">M6*M16</f>
        <v>0</v>
      </c>
      <c r="N107" s="299">
        <f t="shared" si="418"/>
        <v>0</v>
      </c>
      <c r="O107" s="262">
        <f t="shared" ref="O107:O115" si="419">N107-M107</f>
        <v>0</v>
      </c>
      <c r="P107" s="298">
        <f t="shared" ref="P107:Q107" si="420">P6*P16</f>
        <v>0</v>
      </c>
      <c r="Q107" s="299">
        <f t="shared" si="420"/>
        <v>0</v>
      </c>
      <c r="R107" s="262">
        <f t="shared" si="385"/>
        <v>0</v>
      </c>
      <c r="S107" s="298">
        <f t="shared" ref="S107:T107" si="421">S6*S16</f>
        <v>0</v>
      </c>
      <c r="T107" s="299">
        <f t="shared" si="421"/>
        <v>0</v>
      </c>
      <c r="U107" s="262">
        <f t="shared" si="387"/>
        <v>0</v>
      </c>
      <c r="V107" s="298">
        <f t="shared" ref="V107:W107" si="422">V6*V16</f>
        <v>0</v>
      </c>
      <c r="W107" s="299">
        <f t="shared" si="422"/>
        <v>0</v>
      </c>
      <c r="X107" s="262">
        <f t="shared" si="389"/>
        <v>0</v>
      </c>
      <c r="Y107" s="298">
        <f t="shared" ref="Y107:Z107" si="423">Y6*Y16</f>
        <v>0</v>
      </c>
      <c r="Z107" s="299">
        <f t="shared" si="423"/>
        <v>0</v>
      </c>
      <c r="AA107" s="262">
        <f t="shared" ref="AA107:AA115" si="424">Z107-Y107</f>
        <v>0</v>
      </c>
      <c r="AB107" s="298">
        <f t="shared" ref="AB107:AC107" si="425">AB6*AB16</f>
        <v>0</v>
      </c>
      <c r="AC107" s="299">
        <f t="shared" si="425"/>
        <v>0</v>
      </c>
      <c r="AD107" s="262">
        <f t="shared" ref="AD107:AD115" si="426">AC107-AB107</f>
        <v>0</v>
      </c>
      <c r="AE107" s="298">
        <f t="shared" ref="AE107:AF107" si="427">AE6*AE16</f>
        <v>0</v>
      </c>
      <c r="AF107" s="299">
        <f t="shared" si="427"/>
        <v>0</v>
      </c>
      <c r="AG107" s="262">
        <f t="shared" si="393"/>
        <v>0</v>
      </c>
      <c r="AH107" s="298">
        <f t="shared" ref="AH107:AI107" si="428">AH6*AH16</f>
        <v>0</v>
      </c>
      <c r="AI107" s="299">
        <f t="shared" si="428"/>
        <v>0</v>
      </c>
      <c r="AJ107" s="262">
        <f t="shared" si="395"/>
        <v>0</v>
      </c>
      <c r="AK107" s="298">
        <f t="shared" ref="AK107:AL107" si="429">AK6*AK16</f>
        <v>0</v>
      </c>
      <c r="AL107" s="299">
        <f t="shared" si="429"/>
        <v>0</v>
      </c>
      <c r="AM107" s="262">
        <f t="shared" si="397"/>
        <v>0</v>
      </c>
      <c r="AN107" s="298">
        <f t="shared" ref="AN107:AO107" si="430">AN6*AN16</f>
        <v>0</v>
      </c>
      <c r="AO107" s="299">
        <f t="shared" si="430"/>
        <v>0</v>
      </c>
      <c r="AP107" s="262">
        <f t="shared" ref="AP107:AP115" si="431">AO107-AN107</f>
        <v>0</v>
      </c>
      <c r="AQ107" s="298">
        <f t="shared" ref="AQ107:AR107" si="432">AQ6*AQ16</f>
        <v>0</v>
      </c>
      <c r="AR107" s="299">
        <f t="shared" si="432"/>
        <v>0</v>
      </c>
      <c r="AS107" s="262">
        <f t="shared" ref="AS107:AS115" si="433">AR107-AQ107</f>
        <v>0</v>
      </c>
      <c r="AT107" s="298">
        <f t="shared" ref="AT107:AU107" si="434">AT6*AT16</f>
        <v>0</v>
      </c>
      <c r="AU107" s="299">
        <f t="shared" si="434"/>
        <v>0</v>
      </c>
      <c r="AV107" s="262">
        <f t="shared" si="401"/>
        <v>0</v>
      </c>
      <c r="AW107" s="298">
        <f t="shared" ref="AW107:AX107" si="435">AW6*AW16</f>
        <v>0</v>
      </c>
      <c r="AX107" s="299">
        <f t="shared" si="435"/>
        <v>0</v>
      </c>
      <c r="AY107" s="262">
        <f t="shared" si="403"/>
        <v>0</v>
      </c>
      <c r="AZ107" s="298">
        <f t="shared" ref="AZ107:BA107" si="436">AZ6*AZ16</f>
        <v>0</v>
      </c>
      <c r="BA107" s="299">
        <f t="shared" si="436"/>
        <v>0</v>
      </c>
      <c r="BB107" s="262">
        <f t="shared" si="405"/>
        <v>0</v>
      </c>
      <c r="BC107" s="298">
        <f t="shared" ref="BC107:BD107" si="437">BC6*BC16</f>
        <v>0</v>
      </c>
      <c r="BD107" s="299">
        <f t="shared" si="437"/>
        <v>0</v>
      </c>
      <c r="BE107" s="262">
        <f t="shared" ref="BE107:BE115" si="438">BD107-BC107</f>
        <v>0</v>
      </c>
      <c r="BF107" s="298">
        <f t="shared" ref="BF107:BG107" si="439">BF6*BF16</f>
        <v>0</v>
      </c>
      <c r="BG107" s="299">
        <f t="shared" si="439"/>
        <v>0</v>
      </c>
      <c r="BH107" s="262">
        <f t="shared" ref="BH107:BH115" si="440">BG107-BF107</f>
        <v>0</v>
      </c>
      <c r="BI107" s="298">
        <f t="shared" si="408"/>
        <v>0</v>
      </c>
      <c r="BJ107" s="299">
        <f t="shared" si="408"/>
        <v>0</v>
      </c>
      <c r="BK107" s="262">
        <f t="shared" si="409"/>
        <v>0</v>
      </c>
      <c r="BL107" s="298">
        <f t="shared" si="410"/>
        <v>0</v>
      </c>
      <c r="BM107" s="299">
        <f t="shared" si="410"/>
        <v>0</v>
      </c>
      <c r="BN107" s="262">
        <f t="shared" si="411"/>
        <v>0</v>
      </c>
      <c r="BO107" s="298">
        <f t="shared" si="412"/>
        <v>0</v>
      </c>
      <c r="BP107" s="299">
        <f t="shared" si="412"/>
        <v>0</v>
      </c>
      <c r="BQ107" s="262">
        <f t="shared" si="413"/>
        <v>0</v>
      </c>
    </row>
    <row r="108" spans="1:69">
      <c r="A108" s="676"/>
      <c r="B108" s="678"/>
      <c r="C108" s="290" t="s">
        <v>27</v>
      </c>
      <c r="D108" s="291">
        <f t="shared" si="359"/>
        <v>0</v>
      </c>
      <c r="E108" s="292">
        <f t="shared" si="162"/>
        <v>0</v>
      </c>
      <c r="F108" s="293">
        <f t="shared" si="414"/>
        <v>0</v>
      </c>
      <c r="G108" s="298">
        <f t="shared" si="381"/>
        <v>0</v>
      </c>
      <c r="H108" s="299">
        <f t="shared" si="381"/>
        <v>0</v>
      </c>
      <c r="I108" s="262">
        <f t="shared" si="415"/>
        <v>0</v>
      </c>
      <c r="J108" s="298">
        <f t="shared" ref="J108:K108" si="441">J7*J17</f>
        <v>0</v>
      </c>
      <c r="K108" s="299">
        <f t="shared" si="441"/>
        <v>0</v>
      </c>
      <c r="L108" s="262">
        <f t="shared" si="417"/>
        <v>0</v>
      </c>
      <c r="M108" s="298">
        <f t="shared" ref="M108:N108" si="442">M7*M17</f>
        <v>0</v>
      </c>
      <c r="N108" s="299">
        <f t="shared" si="442"/>
        <v>0</v>
      </c>
      <c r="O108" s="262">
        <f t="shared" si="419"/>
        <v>0</v>
      </c>
      <c r="P108" s="298">
        <f t="shared" ref="P108:Q108" si="443">P7*P17</f>
        <v>0</v>
      </c>
      <c r="Q108" s="299">
        <f t="shared" si="443"/>
        <v>0</v>
      </c>
      <c r="R108" s="262">
        <f t="shared" si="385"/>
        <v>0</v>
      </c>
      <c r="S108" s="298">
        <f t="shared" ref="S108:T108" si="444">S7*S17</f>
        <v>0</v>
      </c>
      <c r="T108" s="299">
        <f t="shared" si="444"/>
        <v>0</v>
      </c>
      <c r="U108" s="262">
        <f t="shared" si="387"/>
        <v>0</v>
      </c>
      <c r="V108" s="298">
        <f t="shared" ref="V108:W108" si="445">V7*V17</f>
        <v>0</v>
      </c>
      <c r="W108" s="299">
        <f t="shared" si="445"/>
        <v>0</v>
      </c>
      <c r="X108" s="262">
        <f t="shared" si="389"/>
        <v>0</v>
      </c>
      <c r="Y108" s="298">
        <f t="shared" ref="Y108:Z108" si="446">Y7*Y17</f>
        <v>0</v>
      </c>
      <c r="Z108" s="299">
        <f t="shared" si="446"/>
        <v>0</v>
      </c>
      <c r="AA108" s="262">
        <f t="shared" si="424"/>
        <v>0</v>
      </c>
      <c r="AB108" s="298">
        <f t="shared" ref="AB108:AC108" si="447">AB7*AB17</f>
        <v>0</v>
      </c>
      <c r="AC108" s="299">
        <f t="shared" si="447"/>
        <v>0</v>
      </c>
      <c r="AD108" s="262">
        <f t="shared" si="426"/>
        <v>0</v>
      </c>
      <c r="AE108" s="298">
        <f t="shared" ref="AE108:AF108" si="448">AE7*AE17</f>
        <v>0</v>
      </c>
      <c r="AF108" s="299">
        <f t="shared" si="448"/>
        <v>0</v>
      </c>
      <c r="AG108" s="262">
        <f t="shared" si="393"/>
        <v>0</v>
      </c>
      <c r="AH108" s="298">
        <f t="shared" ref="AH108:AI108" si="449">AH7*AH17</f>
        <v>0</v>
      </c>
      <c r="AI108" s="299">
        <f t="shared" si="449"/>
        <v>0</v>
      </c>
      <c r="AJ108" s="262">
        <f t="shared" si="395"/>
        <v>0</v>
      </c>
      <c r="AK108" s="298">
        <f t="shared" ref="AK108:AL108" si="450">AK7*AK17</f>
        <v>0</v>
      </c>
      <c r="AL108" s="299">
        <f t="shared" si="450"/>
        <v>0</v>
      </c>
      <c r="AM108" s="262">
        <f t="shared" si="397"/>
        <v>0</v>
      </c>
      <c r="AN108" s="298">
        <f t="shared" ref="AN108:AO108" si="451">AN7*AN17</f>
        <v>0</v>
      </c>
      <c r="AO108" s="299">
        <f t="shared" si="451"/>
        <v>0</v>
      </c>
      <c r="AP108" s="262">
        <f t="shared" si="431"/>
        <v>0</v>
      </c>
      <c r="AQ108" s="298">
        <f t="shared" ref="AQ108:AR108" si="452">AQ7*AQ17</f>
        <v>0</v>
      </c>
      <c r="AR108" s="299">
        <f t="shared" si="452"/>
        <v>0</v>
      </c>
      <c r="AS108" s="262">
        <f t="shared" si="433"/>
        <v>0</v>
      </c>
      <c r="AT108" s="298">
        <f t="shared" ref="AT108:AU108" si="453">AT7*AT17</f>
        <v>0</v>
      </c>
      <c r="AU108" s="299">
        <f t="shared" si="453"/>
        <v>0</v>
      </c>
      <c r="AV108" s="262">
        <f t="shared" si="401"/>
        <v>0</v>
      </c>
      <c r="AW108" s="298">
        <f t="shared" ref="AW108:AX108" si="454">AW7*AW17</f>
        <v>0</v>
      </c>
      <c r="AX108" s="299">
        <f t="shared" si="454"/>
        <v>0</v>
      </c>
      <c r="AY108" s="262">
        <f t="shared" si="403"/>
        <v>0</v>
      </c>
      <c r="AZ108" s="298">
        <f t="shared" ref="AZ108:BA108" si="455">AZ7*AZ17</f>
        <v>0</v>
      </c>
      <c r="BA108" s="299">
        <f t="shared" si="455"/>
        <v>0</v>
      </c>
      <c r="BB108" s="262">
        <f t="shared" si="405"/>
        <v>0</v>
      </c>
      <c r="BC108" s="298">
        <f t="shared" ref="BC108:BD108" si="456">BC7*BC17</f>
        <v>0</v>
      </c>
      <c r="BD108" s="299">
        <f t="shared" si="456"/>
        <v>0</v>
      </c>
      <c r="BE108" s="262">
        <f t="shared" si="438"/>
        <v>0</v>
      </c>
      <c r="BF108" s="298">
        <f t="shared" ref="BF108:BG108" si="457">BF7*BF17</f>
        <v>0</v>
      </c>
      <c r="BG108" s="299">
        <f t="shared" si="457"/>
        <v>0</v>
      </c>
      <c r="BH108" s="262">
        <f t="shared" si="440"/>
        <v>0</v>
      </c>
      <c r="BI108" s="298">
        <f t="shared" si="408"/>
        <v>0</v>
      </c>
      <c r="BJ108" s="299">
        <f t="shared" si="408"/>
        <v>0</v>
      </c>
      <c r="BK108" s="262">
        <f t="shared" si="409"/>
        <v>0</v>
      </c>
      <c r="BL108" s="298">
        <f t="shared" si="410"/>
        <v>0</v>
      </c>
      <c r="BM108" s="299">
        <f t="shared" si="410"/>
        <v>0</v>
      </c>
      <c r="BN108" s="262">
        <f t="shared" si="411"/>
        <v>0</v>
      </c>
      <c r="BO108" s="298">
        <f t="shared" si="412"/>
        <v>0</v>
      </c>
      <c r="BP108" s="299">
        <f t="shared" si="412"/>
        <v>0</v>
      </c>
      <c r="BQ108" s="262">
        <f t="shared" si="413"/>
        <v>0</v>
      </c>
    </row>
    <row r="109" spans="1:69">
      <c r="A109" s="676"/>
      <c r="B109" s="678"/>
      <c r="C109" s="290" t="s">
        <v>28</v>
      </c>
      <c r="D109" s="291">
        <f t="shared" si="359"/>
        <v>0</v>
      </c>
      <c r="E109" s="292">
        <f t="shared" si="162"/>
        <v>0</v>
      </c>
      <c r="F109" s="293">
        <f t="shared" si="414"/>
        <v>0</v>
      </c>
      <c r="G109" s="298">
        <f t="shared" si="381"/>
        <v>0</v>
      </c>
      <c r="H109" s="299">
        <f t="shared" si="381"/>
        <v>0</v>
      </c>
      <c r="I109" s="262">
        <f t="shared" si="415"/>
        <v>0</v>
      </c>
      <c r="J109" s="298">
        <f t="shared" ref="J109:K109" si="458">J8*J18</f>
        <v>0</v>
      </c>
      <c r="K109" s="299">
        <f t="shared" si="458"/>
        <v>0</v>
      </c>
      <c r="L109" s="262">
        <f t="shared" si="417"/>
        <v>0</v>
      </c>
      <c r="M109" s="298">
        <f t="shared" ref="M109:N109" si="459">M8*M18</f>
        <v>0</v>
      </c>
      <c r="N109" s="299">
        <f t="shared" si="459"/>
        <v>0</v>
      </c>
      <c r="O109" s="262">
        <f t="shared" si="419"/>
        <v>0</v>
      </c>
      <c r="P109" s="298">
        <f t="shared" ref="P109:Q109" si="460">P8*P18</f>
        <v>0</v>
      </c>
      <c r="Q109" s="299">
        <f t="shared" si="460"/>
        <v>0</v>
      </c>
      <c r="R109" s="262">
        <f t="shared" si="385"/>
        <v>0</v>
      </c>
      <c r="S109" s="298">
        <f t="shared" ref="S109:T109" si="461">S8*S18</f>
        <v>0</v>
      </c>
      <c r="T109" s="299">
        <f t="shared" si="461"/>
        <v>0</v>
      </c>
      <c r="U109" s="262">
        <f t="shared" si="387"/>
        <v>0</v>
      </c>
      <c r="V109" s="298">
        <f t="shared" ref="V109:W109" si="462">V8*V18</f>
        <v>0</v>
      </c>
      <c r="W109" s="299">
        <f t="shared" si="462"/>
        <v>0</v>
      </c>
      <c r="X109" s="262">
        <f t="shared" si="389"/>
        <v>0</v>
      </c>
      <c r="Y109" s="298">
        <f t="shared" ref="Y109:Z109" si="463">Y8*Y18</f>
        <v>0</v>
      </c>
      <c r="Z109" s="299">
        <f t="shared" si="463"/>
        <v>0</v>
      </c>
      <c r="AA109" s="262">
        <f t="shared" si="424"/>
        <v>0</v>
      </c>
      <c r="AB109" s="298">
        <f t="shared" ref="AB109:AC109" si="464">AB8*AB18</f>
        <v>0</v>
      </c>
      <c r="AC109" s="299">
        <f t="shared" si="464"/>
        <v>0</v>
      </c>
      <c r="AD109" s="262">
        <f t="shared" si="426"/>
        <v>0</v>
      </c>
      <c r="AE109" s="298">
        <f t="shared" ref="AE109:AF109" si="465">AE8*AE18</f>
        <v>0</v>
      </c>
      <c r="AF109" s="299">
        <f t="shared" si="465"/>
        <v>0</v>
      </c>
      <c r="AG109" s="262">
        <f t="shared" si="393"/>
        <v>0</v>
      </c>
      <c r="AH109" s="298">
        <f t="shared" ref="AH109:AI109" si="466">AH8*AH18</f>
        <v>0</v>
      </c>
      <c r="AI109" s="299">
        <f t="shared" si="466"/>
        <v>0</v>
      </c>
      <c r="AJ109" s="262">
        <f t="shared" si="395"/>
        <v>0</v>
      </c>
      <c r="AK109" s="298">
        <f t="shared" ref="AK109:AL109" si="467">AK8*AK18</f>
        <v>0</v>
      </c>
      <c r="AL109" s="299">
        <f t="shared" si="467"/>
        <v>0</v>
      </c>
      <c r="AM109" s="262">
        <f t="shared" si="397"/>
        <v>0</v>
      </c>
      <c r="AN109" s="298">
        <f t="shared" ref="AN109:AO109" si="468">AN8*AN18</f>
        <v>0</v>
      </c>
      <c r="AO109" s="299">
        <f t="shared" si="468"/>
        <v>0</v>
      </c>
      <c r="AP109" s="262">
        <f t="shared" si="431"/>
        <v>0</v>
      </c>
      <c r="AQ109" s="298">
        <f t="shared" ref="AQ109:AR109" si="469">AQ8*AQ18</f>
        <v>0</v>
      </c>
      <c r="AR109" s="299">
        <f t="shared" si="469"/>
        <v>0</v>
      </c>
      <c r="AS109" s="262">
        <f t="shared" si="433"/>
        <v>0</v>
      </c>
      <c r="AT109" s="298">
        <f t="shared" ref="AT109:AU109" si="470">AT8*AT18</f>
        <v>0</v>
      </c>
      <c r="AU109" s="299">
        <f t="shared" si="470"/>
        <v>0</v>
      </c>
      <c r="AV109" s="262">
        <f t="shared" si="401"/>
        <v>0</v>
      </c>
      <c r="AW109" s="298">
        <f t="shared" ref="AW109:AX109" si="471">AW8*AW18</f>
        <v>0</v>
      </c>
      <c r="AX109" s="299">
        <f t="shared" si="471"/>
        <v>0</v>
      </c>
      <c r="AY109" s="262">
        <f t="shared" si="403"/>
        <v>0</v>
      </c>
      <c r="AZ109" s="298">
        <f t="shared" ref="AZ109:BA109" si="472">AZ8*AZ18</f>
        <v>0</v>
      </c>
      <c r="BA109" s="299">
        <f t="shared" si="472"/>
        <v>0</v>
      </c>
      <c r="BB109" s="262">
        <f t="shared" si="405"/>
        <v>0</v>
      </c>
      <c r="BC109" s="298">
        <f t="shared" ref="BC109:BD109" si="473">BC8*BC18</f>
        <v>0</v>
      </c>
      <c r="BD109" s="299">
        <f t="shared" si="473"/>
        <v>0</v>
      </c>
      <c r="BE109" s="262">
        <f t="shared" si="438"/>
        <v>0</v>
      </c>
      <c r="BF109" s="298">
        <f t="shared" ref="BF109:BG109" si="474">BF8*BF18</f>
        <v>0</v>
      </c>
      <c r="BG109" s="299">
        <f t="shared" si="474"/>
        <v>0</v>
      </c>
      <c r="BH109" s="262">
        <f t="shared" si="440"/>
        <v>0</v>
      </c>
      <c r="BI109" s="298">
        <f t="shared" si="408"/>
        <v>0</v>
      </c>
      <c r="BJ109" s="299">
        <f t="shared" si="408"/>
        <v>0</v>
      </c>
      <c r="BK109" s="262">
        <f t="shared" si="409"/>
        <v>0</v>
      </c>
      <c r="BL109" s="298">
        <f t="shared" si="410"/>
        <v>0</v>
      </c>
      <c r="BM109" s="299">
        <f t="shared" si="410"/>
        <v>0</v>
      </c>
      <c r="BN109" s="262">
        <f t="shared" si="411"/>
        <v>0</v>
      </c>
      <c r="BO109" s="298">
        <f t="shared" si="412"/>
        <v>0</v>
      </c>
      <c r="BP109" s="299">
        <f t="shared" si="412"/>
        <v>0</v>
      </c>
      <c r="BQ109" s="262">
        <f t="shared" si="413"/>
        <v>0</v>
      </c>
    </row>
    <row r="110" spans="1:69">
      <c r="A110" s="676"/>
      <c r="B110" s="678"/>
      <c r="C110" s="290" t="s">
        <v>29</v>
      </c>
      <c r="D110" s="291">
        <f t="shared" si="359"/>
        <v>0</v>
      </c>
      <c r="E110" s="292">
        <f t="shared" si="162"/>
        <v>0</v>
      </c>
      <c r="F110" s="293">
        <f t="shared" si="414"/>
        <v>0</v>
      </c>
      <c r="G110" s="298">
        <f t="shared" si="381"/>
        <v>0</v>
      </c>
      <c r="H110" s="299">
        <f t="shared" si="381"/>
        <v>0</v>
      </c>
      <c r="I110" s="262">
        <f t="shared" si="415"/>
        <v>0</v>
      </c>
      <c r="J110" s="298">
        <f t="shared" ref="J110:K110" si="475">J9*J19</f>
        <v>0</v>
      </c>
      <c r="K110" s="299">
        <f t="shared" si="475"/>
        <v>0</v>
      </c>
      <c r="L110" s="262">
        <f t="shared" si="417"/>
        <v>0</v>
      </c>
      <c r="M110" s="298">
        <f t="shared" ref="M110:N110" si="476">M9*M19</f>
        <v>0</v>
      </c>
      <c r="N110" s="299">
        <f t="shared" si="476"/>
        <v>0</v>
      </c>
      <c r="O110" s="262">
        <f t="shared" si="419"/>
        <v>0</v>
      </c>
      <c r="P110" s="298">
        <f t="shared" ref="P110:Q110" si="477">P9*P19</f>
        <v>0</v>
      </c>
      <c r="Q110" s="299">
        <f t="shared" si="477"/>
        <v>0</v>
      </c>
      <c r="R110" s="262">
        <f t="shared" si="385"/>
        <v>0</v>
      </c>
      <c r="S110" s="298">
        <f t="shared" ref="S110:T110" si="478">S9*S19</f>
        <v>0</v>
      </c>
      <c r="T110" s="299">
        <f t="shared" si="478"/>
        <v>0</v>
      </c>
      <c r="U110" s="262">
        <f t="shared" si="387"/>
        <v>0</v>
      </c>
      <c r="V110" s="298">
        <f t="shared" ref="V110:W110" si="479">V9*V19</f>
        <v>0</v>
      </c>
      <c r="W110" s="299">
        <f t="shared" si="479"/>
        <v>0</v>
      </c>
      <c r="X110" s="262">
        <f t="shared" si="389"/>
        <v>0</v>
      </c>
      <c r="Y110" s="298">
        <f t="shared" ref="Y110:Z110" si="480">Y9*Y19</f>
        <v>0</v>
      </c>
      <c r="Z110" s="299">
        <f t="shared" si="480"/>
        <v>0</v>
      </c>
      <c r="AA110" s="262">
        <f t="shared" si="424"/>
        <v>0</v>
      </c>
      <c r="AB110" s="298">
        <f t="shared" ref="AB110:AC110" si="481">AB9*AB19</f>
        <v>0</v>
      </c>
      <c r="AC110" s="299">
        <f t="shared" si="481"/>
        <v>0</v>
      </c>
      <c r="AD110" s="262">
        <f t="shared" si="426"/>
        <v>0</v>
      </c>
      <c r="AE110" s="298">
        <f t="shared" ref="AE110:AF110" si="482">AE9*AE19</f>
        <v>0</v>
      </c>
      <c r="AF110" s="299">
        <f t="shared" si="482"/>
        <v>0</v>
      </c>
      <c r="AG110" s="262">
        <f t="shared" si="393"/>
        <v>0</v>
      </c>
      <c r="AH110" s="298">
        <f t="shared" ref="AH110:AI110" si="483">AH9*AH19</f>
        <v>0</v>
      </c>
      <c r="AI110" s="299">
        <f t="shared" si="483"/>
        <v>0</v>
      </c>
      <c r="AJ110" s="262">
        <f t="shared" si="395"/>
        <v>0</v>
      </c>
      <c r="AK110" s="298">
        <f t="shared" ref="AK110:AL110" si="484">AK9*AK19</f>
        <v>0</v>
      </c>
      <c r="AL110" s="299">
        <f t="shared" si="484"/>
        <v>0</v>
      </c>
      <c r="AM110" s="262">
        <f t="shared" si="397"/>
        <v>0</v>
      </c>
      <c r="AN110" s="298">
        <f t="shared" ref="AN110:AO110" si="485">AN9*AN19</f>
        <v>0</v>
      </c>
      <c r="AO110" s="299">
        <f t="shared" si="485"/>
        <v>0</v>
      </c>
      <c r="AP110" s="262">
        <f t="shared" si="431"/>
        <v>0</v>
      </c>
      <c r="AQ110" s="298">
        <f t="shared" ref="AQ110:AR110" si="486">AQ9*AQ19</f>
        <v>0</v>
      </c>
      <c r="AR110" s="299">
        <f t="shared" si="486"/>
        <v>0</v>
      </c>
      <c r="AS110" s="262">
        <f t="shared" si="433"/>
        <v>0</v>
      </c>
      <c r="AT110" s="298">
        <f t="shared" ref="AT110:AU110" si="487">AT9*AT19</f>
        <v>0</v>
      </c>
      <c r="AU110" s="299">
        <f t="shared" si="487"/>
        <v>0</v>
      </c>
      <c r="AV110" s="262">
        <f t="shared" si="401"/>
        <v>0</v>
      </c>
      <c r="AW110" s="298">
        <f t="shared" ref="AW110:AX110" si="488">AW9*AW19</f>
        <v>0</v>
      </c>
      <c r="AX110" s="299">
        <f t="shared" si="488"/>
        <v>0</v>
      </c>
      <c r="AY110" s="262">
        <f t="shared" si="403"/>
        <v>0</v>
      </c>
      <c r="AZ110" s="298">
        <f t="shared" ref="AZ110:BA110" si="489">AZ9*AZ19</f>
        <v>0</v>
      </c>
      <c r="BA110" s="299">
        <f t="shared" si="489"/>
        <v>0</v>
      </c>
      <c r="BB110" s="262">
        <f t="shared" si="405"/>
        <v>0</v>
      </c>
      <c r="BC110" s="298">
        <f t="shared" ref="BC110:BD110" si="490">BC9*BC19</f>
        <v>0</v>
      </c>
      <c r="BD110" s="299">
        <f t="shared" si="490"/>
        <v>0</v>
      </c>
      <c r="BE110" s="262">
        <f t="shared" si="438"/>
        <v>0</v>
      </c>
      <c r="BF110" s="298">
        <f t="shared" ref="BF110:BG110" si="491">BF9*BF19</f>
        <v>0</v>
      </c>
      <c r="BG110" s="299">
        <f t="shared" si="491"/>
        <v>0</v>
      </c>
      <c r="BH110" s="262">
        <f t="shared" si="440"/>
        <v>0</v>
      </c>
      <c r="BI110" s="298">
        <f t="shared" si="408"/>
        <v>0</v>
      </c>
      <c r="BJ110" s="299">
        <f t="shared" si="408"/>
        <v>0</v>
      </c>
      <c r="BK110" s="262">
        <f t="shared" si="409"/>
        <v>0</v>
      </c>
      <c r="BL110" s="298">
        <f t="shared" si="410"/>
        <v>0</v>
      </c>
      <c r="BM110" s="299">
        <f t="shared" si="410"/>
        <v>0</v>
      </c>
      <c r="BN110" s="262">
        <f t="shared" si="411"/>
        <v>0</v>
      </c>
      <c r="BO110" s="298">
        <f t="shared" si="412"/>
        <v>0</v>
      </c>
      <c r="BP110" s="299">
        <f t="shared" si="412"/>
        <v>0</v>
      </c>
      <c r="BQ110" s="262">
        <f t="shared" si="413"/>
        <v>0</v>
      </c>
    </row>
    <row r="111" spans="1:69">
      <c r="A111" s="676"/>
      <c r="B111" s="678"/>
      <c r="C111" s="290" t="s">
        <v>30</v>
      </c>
      <c r="D111" s="291">
        <f t="shared" si="359"/>
        <v>0</v>
      </c>
      <c r="E111" s="292">
        <f t="shared" si="162"/>
        <v>0</v>
      </c>
      <c r="F111" s="293">
        <f t="shared" si="414"/>
        <v>0</v>
      </c>
      <c r="G111" s="298">
        <f t="shared" si="381"/>
        <v>0</v>
      </c>
      <c r="H111" s="299">
        <f t="shared" si="381"/>
        <v>0</v>
      </c>
      <c r="I111" s="262">
        <f t="shared" si="415"/>
        <v>0</v>
      </c>
      <c r="J111" s="298">
        <f t="shared" ref="J111:K111" si="492">J10*J20</f>
        <v>0</v>
      </c>
      <c r="K111" s="299">
        <f t="shared" si="492"/>
        <v>0</v>
      </c>
      <c r="L111" s="262">
        <f t="shared" si="417"/>
        <v>0</v>
      </c>
      <c r="M111" s="298">
        <f t="shared" ref="M111:N111" si="493">M10*M20</f>
        <v>0</v>
      </c>
      <c r="N111" s="299">
        <f t="shared" si="493"/>
        <v>0</v>
      </c>
      <c r="O111" s="262">
        <f t="shared" si="419"/>
        <v>0</v>
      </c>
      <c r="P111" s="298">
        <f t="shared" ref="P111:Q111" si="494">P10*P20</f>
        <v>0</v>
      </c>
      <c r="Q111" s="299">
        <f t="shared" si="494"/>
        <v>0</v>
      </c>
      <c r="R111" s="262">
        <f t="shared" si="385"/>
        <v>0</v>
      </c>
      <c r="S111" s="298">
        <f t="shared" ref="S111:T111" si="495">S10*S20</f>
        <v>0</v>
      </c>
      <c r="T111" s="299">
        <f t="shared" si="495"/>
        <v>0</v>
      </c>
      <c r="U111" s="262">
        <f t="shared" si="387"/>
        <v>0</v>
      </c>
      <c r="V111" s="298">
        <f t="shared" ref="V111:W111" si="496">V10*V20</f>
        <v>0</v>
      </c>
      <c r="W111" s="299">
        <f t="shared" si="496"/>
        <v>0</v>
      </c>
      <c r="X111" s="262">
        <f t="shared" si="389"/>
        <v>0</v>
      </c>
      <c r="Y111" s="298">
        <f t="shared" ref="Y111:Z111" si="497">Y10*Y20</f>
        <v>0</v>
      </c>
      <c r="Z111" s="299">
        <f t="shared" si="497"/>
        <v>0</v>
      </c>
      <c r="AA111" s="262">
        <f t="shared" si="424"/>
        <v>0</v>
      </c>
      <c r="AB111" s="298">
        <f t="shared" ref="AB111:AC111" si="498">AB10*AB20</f>
        <v>0</v>
      </c>
      <c r="AC111" s="299">
        <f t="shared" si="498"/>
        <v>0</v>
      </c>
      <c r="AD111" s="262">
        <f t="shared" si="426"/>
        <v>0</v>
      </c>
      <c r="AE111" s="298">
        <f t="shared" ref="AE111:AF111" si="499">AE10*AE20</f>
        <v>0</v>
      </c>
      <c r="AF111" s="299">
        <f t="shared" si="499"/>
        <v>0</v>
      </c>
      <c r="AG111" s="262">
        <f t="shared" si="393"/>
        <v>0</v>
      </c>
      <c r="AH111" s="298">
        <f t="shared" ref="AH111:AI111" si="500">AH10*AH20</f>
        <v>0</v>
      </c>
      <c r="AI111" s="299">
        <f t="shared" si="500"/>
        <v>0</v>
      </c>
      <c r="AJ111" s="262">
        <f t="shared" si="395"/>
        <v>0</v>
      </c>
      <c r="AK111" s="298">
        <f t="shared" ref="AK111:AL111" si="501">AK10*AK20</f>
        <v>0</v>
      </c>
      <c r="AL111" s="299">
        <f t="shared" si="501"/>
        <v>0</v>
      </c>
      <c r="AM111" s="262">
        <f t="shared" si="397"/>
        <v>0</v>
      </c>
      <c r="AN111" s="298">
        <f t="shared" ref="AN111:AO111" si="502">AN10*AN20</f>
        <v>0</v>
      </c>
      <c r="AO111" s="299">
        <f t="shared" si="502"/>
        <v>0</v>
      </c>
      <c r="AP111" s="262">
        <f t="shared" si="431"/>
        <v>0</v>
      </c>
      <c r="AQ111" s="298">
        <f t="shared" ref="AQ111:AR111" si="503">AQ10*AQ20</f>
        <v>0</v>
      </c>
      <c r="AR111" s="299">
        <f t="shared" si="503"/>
        <v>0</v>
      </c>
      <c r="AS111" s="262">
        <f t="shared" si="433"/>
        <v>0</v>
      </c>
      <c r="AT111" s="298">
        <f t="shared" ref="AT111:AU111" si="504">AT10*AT20</f>
        <v>0</v>
      </c>
      <c r="AU111" s="299">
        <f t="shared" si="504"/>
        <v>0</v>
      </c>
      <c r="AV111" s="262">
        <f t="shared" si="401"/>
        <v>0</v>
      </c>
      <c r="AW111" s="298">
        <f t="shared" ref="AW111:AX111" si="505">AW10*AW20</f>
        <v>0</v>
      </c>
      <c r="AX111" s="299">
        <f t="shared" si="505"/>
        <v>0</v>
      </c>
      <c r="AY111" s="262">
        <f t="shared" si="403"/>
        <v>0</v>
      </c>
      <c r="AZ111" s="298">
        <f t="shared" ref="AZ111:BA111" si="506">AZ10*AZ20</f>
        <v>0</v>
      </c>
      <c r="BA111" s="299">
        <f t="shared" si="506"/>
        <v>0</v>
      </c>
      <c r="BB111" s="262">
        <f t="shared" si="405"/>
        <v>0</v>
      </c>
      <c r="BC111" s="298">
        <f t="shared" ref="BC111:BD111" si="507">BC10*BC20</f>
        <v>0</v>
      </c>
      <c r="BD111" s="299">
        <f t="shared" si="507"/>
        <v>0</v>
      </c>
      <c r="BE111" s="262">
        <f t="shared" si="438"/>
        <v>0</v>
      </c>
      <c r="BF111" s="298">
        <f t="shared" ref="BF111:BG111" si="508">BF10*BF20</f>
        <v>0</v>
      </c>
      <c r="BG111" s="299">
        <f t="shared" si="508"/>
        <v>0</v>
      </c>
      <c r="BH111" s="262">
        <f t="shared" si="440"/>
        <v>0</v>
      </c>
      <c r="BI111" s="298">
        <f t="shared" si="408"/>
        <v>0</v>
      </c>
      <c r="BJ111" s="299">
        <f t="shared" si="408"/>
        <v>0</v>
      </c>
      <c r="BK111" s="262">
        <f t="shared" si="409"/>
        <v>0</v>
      </c>
      <c r="BL111" s="298">
        <f t="shared" si="410"/>
        <v>0</v>
      </c>
      <c r="BM111" s="299">
        <f t="shared" si="410"/>
        <v>0</v>
      </c>
      <c r="BN111" s="262">
        <f t="shared" si="411"/>
        <v>0</v>
      </c>
      <c r="BO111" s="298">
        <f t="shared" si="412"/>
        <v>0</v>
      </c>
      <c r="BP111" s="299">
        <f t="shared" si="412"/>
        <v>0</v>
      </c>
      <c r="BQ111" s="262">
        <f t="shared" si="413"/>
        <v>0</v>
      </c>
    </row>
    <row r="112" spans="1:69">
      <c r="A112" s="676"/>
      <c r="B112" s="678"/>
      <c r="C112" s="290" t="s">
        <v>31</v>
      </c>
      <c r="D112" s="291">
        <f t="shared" ref="D112:D115" si="509">SUM(G112,J112,M112,P112,S112,V112,Y112,AB112,AE112,AH112,AK112,AN112,AQ112,AT112,AW112,AZ112,AZ112,BC112,BF112,BI112,BL112,BO112)</f>
        <v>0</v>
      </c>
      <c r="E112" s="292">
        <f t="shared" si="162"/>
        <v>0</v>
      </c>
      <c r="F112" s="293">
        <f t="shared" si="414"/>
        <v>0</v>
      </c>
      <c r="G112" s="298">
        <f t="shared" si="381"/>
        <v>0</v>
      </c>
      <c r="H112" s="299">
        <f t="shared" si="381"/>
        <v>0</v>
      </c>
      <c r="I112" s="262">
        <f t="shared" si="415"/>
        <v>0</v>
      </c>
      <c r="J112" s="298">
        <f t="shared" ref="J112:K112" si="510">J11*J21</f>
        <v>0</v>
      </c>
      <c r="K112" s="299">
        <f t="shared" si="510"/>
        <v>0</v>
      </c>
      <c r="L112" s="262">
        <f t="shared" si="417"/>
        <v>0</v>
      </c>
      <c r="M112" s="298">
        <f t="shared" ref="M112:N112" si="511">M11*M21</f>
        <v>0</v>
      </c>
      <c r="N112" s="299">
        <f t="shared" si="511"/>
        <v>0</v>
      </c>
      <c r="O112" s="262">
        <f t="shared" si="419"/>
        <v>0</v>
      </c>
      <c r="P112" s="298">
        <f t="shared" ref="P112:Q112" si="512">P11*P21</f>
        <v>0</v>
      </c>
      <c r="Q112" s="299">
        <f t="shared" si="512"/>
        <v>0</v>
      </c>
      <c r="R112" s="262">
        <f t="shared" si="385"/>
        <v>0</v>
      </c>
      <c r="S112" s="298">
        <f t="shared" ref="S112:T112" si="513">S11*S21</f>
        <v>0</v>
      </c>
      <c r="T112" s="299">
        <f t="shared" si="513"/>
        <v>0</v>
      </c>
      <c r="U112" s="262">
        <f t="shared" si="387"/>
        <v>0</v>
      </c>
      <c r="V112" s="298">
        <f t="shared" ref="V112:W112" si="514">V11*V21</f>
        <v>0</v>
      </c>
      <c r="W112" s="299">
        <f t="shared" si="514"/>
        <v>0</v>
      </c>
      <c r="X112" s="262">
        <f t="shared" si="389"/>
        <v>0</v>
      </c>
      <c r="Y112" s="298">
        <f t="shared" ref="Y112:Z112" si="515">Y11*Y21</f>
        <v>0</v>
      </c>
      <c r="Z112" s="299">
        <f t="shared" si="515"/>
        <v>0</v>
      </c>
      <c r="AA112" s="262">
        <f t="shared" si="424"/>
        <v>0</v>
      </c>
      <c r="AB112" s="298">
        <f t="shared" ref="AB112:AC112" si="516">AB11*AB21</f>
        <v>0</v>
      </c>
      <c r="AC112" s="299">
        <f t="shared" si="516"/>
        <v>0</v>
      </c>
      <c r="AD112" s="262">
        <f t="shared" si="426"/>
        <v>0</v>
      </c>
      <c r="AE112" s="298">
        <f t="shared" ref="AE112:AF112" si="517">AE11*AE21</f>
        <v>0</v>
      </c>
      <c r="AF112" s="299">
        <f t="shared" si="517"/>
        <v>0</v>
      </c>
      <c r="AG112" s="262">
        <f t="shared" si="393"/>
        <v>0</v>
      </c>
      <c r="AH112" s="298">
        <f t="shared" ref="AH112:AI112" si="518">AH11*AH21</f>
        <v>0</v>
      </c>
      <c r="AI112" s="299">
        <f t="shared" si="518"/>
        <v>0</v>
      </c>
      <c r="AJ112" s="262">
        <f t="shared" si="395"/>
        <v>0</v>
      </c>
      <c r="AK112" s="298">
        <f t="shared" ref="AK112:AL112" si="519">AK11*AK21</f>
        <v>0</v>
      </c>
      <c r="AL112" s="299">
        <f t="shared" si="519"/>
        <v>0</v>
      </c>
      <c r="AM112" s="262">
        <f t="shared" si="397"/>
        <v>0</v>
      </c>
      <c r="AN112" s="298">
        <f t="shared" ref="AN112:AO112" si="520">AN11*AN21</f>
        <v>0</v>
      </c>
      <c r="AO112" s="299">
        <f t="shared" si="520"/>
        <v>0</v>
      </c>
      <c r="AP112" s="262">
        <f t="shared" si="431"/>
        <v>0</v>
      </c>
      <c r="AQ112" s="298">
        <f t="shared" ref="AQ112:AR112" si="521">AQ11*AQ21</f>
        <v>0</v>
      </c>
      <c r="AR112" s="299">
        <f t="shared" si="521"/>
        <v>0</v>
      </c>
      <c r="AS112" s="262">
        <f t="shared" si="433"/>
        <v>0</v>
      </c>
      <c r="AT112" s="298">
        <f t="shared" ref="AT112:AU112" si="522">AT11*AT21</f>
        <v>0</v>
      </c>
      <c r="AU112" s="299">
        <f t="shared" si="522"/>
        <v>0</v>
      </c>
      <c r="AV112" s="262">
        <f t="shared" si="401"/>
        <v>0</v>
      </c>
      <c r="AW112" s="298">
        <f t="shared" ref="AW112:AX112" si="523">AW11*AW21</f>
        <v>0</v>
      </c>
      <c r="AX112" s="299">
        <f t="shared" si="523"/>
        <v>0</v>
      </c>
      <c r="AY112" s="262">
        <f t="shared" si="403"/>
        <v>0</v>
      </c>
      <c r="AZ112" s="298">
        <f t="shared" ref="AZ112:BA112" si="524">AZ11*AZ21</f>
        <v>0</v>
      </c>
      <c r="BA112" s="299">
        <f t="shared" si="524"/>
        <v>0</v>
      </c>
      <c r="BB112" s="262">
        <f t="shared" si="405"/>
        <v>0</v>
      </c>
      <c r="BC112" s="298">
        <f t="shared" ref="BC112:BD112" si="525">BC11*BC21</f>
        <v>0</v>
      </c>
      <c r="BD112" s="299">
        <f t="shared" si="525"/>
        <v>0</v>
      </c>
      <c r="BE112" s="262">
        <f t="shared" si="438"/>
        <v>0</v>
      </c>
      <c r="BF112" s="298">
        <f t="shared" ref="BF112:BG112" si="526">BF11*BF21</f>
        <v>0</v>
      </c>
      <c r="BG112" s="299">
        <f t="shared" si="526"/>
        <v>0</v>
      </c>
      <c r="BH112" s="262">
        <f t="shared" si="440"/>
        <v>0</v>
      </c>
      <c r="BI112" s="298">
        <f t="shared" si="408"/>
        <v>0</v>
      </c>
      <c r="BJ112" s="299">
        <f t="shared" si="408"/>
        <v>0</v>
      </c>
      <c r="BK112" s="262">
        <f t="shared" si="409"/>
        <v>0</v>
      </c>
      <c r="BL112" s="298">
        <f t="shared" si="410"/>
        <v>0</v>
      </c>
      <c r="BM112" s="299">
        <f t="shared" si="410"/>
        <v>0</v>
      </c>
      <c r="BN112" s="262">
        <f t="shared" si="411"/>
        <v>0</v>
      </c>
      <c r="BO112" s="298">
        <f t="shared" si="412"/>
        <v>0</v>
      </c>
      <c r="BP112" s="299">
        <f t="shared" si="412"/>
        <v>0</v>
      </c>
      <c r="BQ112" s="262">
        <f t="shared" si="413"/>
        <v>0</v>
      </c>
    </row>
    <row r="113" spans="1:70">
      <c r="A113" s="676"/>
      <c r="B113" s="678"/>
      <c r="C113" s="290" t="s">
        <v>32</v>
      </c>
      <c r="D113" s="291">
        <f t="shared" si="509"/>
        <v>0</v>
      </c>
      <c r="E113" s="292">
        <f t="shared" si="162"/>
        <v>0</v>
      </c>
      <c r="F113" s="293">
        <f t="shared" si="414"/>
        <v>0</v>
      </c>
      <c r="G113" s="298">
        <f t="shared" si="381"/>
        <v>0</v>
      </c>
      <c r="H113" s="299">
        <f t="shared" si="381"/>
        <v>0</v>
      </c>
      <c r="I113" s="262">
        <f t="shared" si="415"/>
        <v>0</v>
      </c>
      <c r="J113" s="298">
        <f t="shared" ref="J113:K113" si="527">J12*J22</f>
        <v>0</v>
      </c>
      <c r="K113" s="299">
        <f t="shared" si="527"/>
        <v>0</v>
      </c>
      <c r="L113" s="262">
        <f t="shared" si="417"/>
        <v>0</v>
      </c>
      <c r="M113" s="298">
        <f t="shared" ref="M113:N113" si="528">M12*M22</f>
        <v>0</v>
      </c>
      <c r="N113" s="299">
        <f t="shared" si="528"/>
        <v>0</v>
      </c>
      <c r="O113" s="262">
        <f t="shared" si="419"/>
        <v>0</v>
      </c>
      <c r="P113" s="298">
        <f t="shared" ref="P113:Q113" si="529">P12*P22</f>
        <v>0</v>
      </c>
      <c r="Q113" s="299">
        <f t="shared" si="529"/>
        <v>0</v>
      </c>
      <c r="R113" s="262">
        <f t="shared" si="385"/>
        <v>0</v>
      </c>
      <c r="S113" s="298">
        <f t="shared" ref="S113:T113" si="530">S12*S22</f>
        <v>0</v>
      </c>
      <c r="T113" s="299">
        <f t="shared" si="530"/>
        <v>0</v>
      </c>
      <c r="U113" s="262">
        <f t="shared" si="387"/>
        <v>0</v>
      </c>
      <c r="V113" s="298">
        <f t="shared" ref="V113:W113" si="531">V12*V22</f>
        <v>0</v>
      </c>
      <c r="W113" s="299">
        <f t="shared" si="531"/>
        <v>0</v>
      </c>
      <c r="X113" s="262">
        <f t="shared" si="389"/>
        <v>0</v>
      </c>
      <c r="Y113" s="298">
        <f t="shared" ref="Y113:Z113" si="532">Y12*Y22</f>
        <v>0</v>
      </c>
      <c r="Z113" s="299">
        <f t="shared" si="532"/>
        <v>0</v>
      </c>
      <c r="AA113" s="262">
        <f t="shared" si="424"/>
        <v>0</v>
      </c>
      <c r="AB113" s="298">
        <f t="shared" ref="AB113:AC113" si="533">AB12*AB22</f>
        <v>0</v>
      </c>
      <c r="AC113" s="299">
        <f t="shared" si="533"/>
        <v>0</v>
      </c>
      <c r="AD113" s="262">
        <f t="shared" si="426"/>
        <v>0</v>
      </c>
      <c r="AE113" s="298">
        <f t="shared" ref="AE113:AF113" si="534">AE12*AE22</f>
        <v>0</v>
      </c>
      <c r="AF113" s="299">
        <f t="shared" si="534"/>
        <v>0</v>
      </c>
      <c r="AG113" s="262">
        <f t="shared" si="393"/>
        <v>0</v>
      </c>
      <c r="AH113" s="298">
        <f t="shared" ref="AH113:AI113" si="535">AH12*AH22</f>
        <v>0</v>
      </c>
      <c r="AI113" s="299">
        <f t="shared" si="535"/>
        <v>0</v>
      </c>
      <c r="AJ113" s="262">
        <f t="shared" si="395"/>
        <v>0</v>
      </c>
      <c r="AK113" s="298">
        <f t="shared" ref="AK113:AL113" si="536">AK12*AK22</f>
        <v>0</v>
      </c>
      <c r="AL113" s="299">
        <f t="shared" si="536"/>
        <v>0</v>
      </c>
      <c r="AM113" s="262">
        <f t="shared" si="397"/>
        <v>0</v>
      </c>
      <c r="AN113" s="298">
        <f t="shared" ref="AN113:AO113" si="537">AN12*AN22</f>
        <v>0</v>
      </c>
      <c r="AO113" s="299">
        <f t="shared" si="537"/>
        <v>0</v>
      </c>
      <c r="AP113" s="262">
        <f t="shared" si="431"/>
        <v>0</v>
      </c>
      <c r="AQ113" s="298">
        <f t="shared" ref="AQ113:AR113" si="538">AQ12*AQ22</f>
        <v>0</v>
      </c>
      <c r="AR113" s="299">
        <f t="shared" si="538"/>
        <v>0</v>
      </c>
      <c r="AS113" s="262">
        <f t="shared" si="433"/>
        <v>0</v>
      </c>
      <c r="AT113" s="298">
        <f t="shared" ref="AT113:AU113" si="539">AT12*AT22</f>
        <v>0</v>
      </c>
      <c r="AU113" s="299">
        <f t="shared" si="539"/>
        <v>0</v>
      </c>
      <c r="AV113" s="262">
        <f t="shared" si="401"/>
        <v>0</v>
      </c>
      <c r="AW113" s="298">
        <f t="shared" ref="AW113:AX113" si="540">AW12*AW22</f>
        <v>0</v>
      </c>
      <c r="AX113" s="299">
        <f t="shared" si="540"/>
        <v>0</v>
      </c>
      <c r="AY113" s="262">
        <f t="shared" si="403"/>
        <v>0</v>
      </c>
      <c r="AZ113" s="298">
        <f t="shared" ref="AZ113:BA113" si="541">AZ12*AZ22</f>
        <v>0</v>
      </c>
      <c r="BA113" s="299">
        <f t="shared" si="541"/>
        <v>0</v>
      </c>
      <c r="BB113" s="262">
        <f t="shared" si="405"/>
        <v>0</v>
      </c>
      <c r="BC113" s="298">
        <f t="shared" ref="BC113:BD113" si="542">BC12*BC22</f>
        <v>0</v>
      </c>
      <c r="BD113" s="299">
        <f t="shared" si="542"/>
        <v>0</v>
      </c>
      <c r="BE113" s="262">
        <f t="shared" si="438"/>
        <v>0</v>
      </c>
      <c r="BF113" s="298">
        <f t="shared" ref="BF113:BG113" si="543">BF12*BF22</f>
        <v>0</v>
      </c>
      <c r="BG113" s="299">
        <f t="shared" si="543"/>
        <v>0</v>
      </c>
      <c r="BH113" s="262">
        <f t="shared" si="440"/>
        <v>0</v>
      </c>
      <c r="BI113" s="298">
        <f t="shared" si="408"/>
        <v>0</v>
      </c>
      <c r="BJ113" s="299">
        <f t="shared" si="408"/>
        <v>0</v>
      </c>
      <c r="BK113" s="262">
        <f t="shared" si="409"/>
        <v>0</v>
      </c>
      <c r="BL113" s="298">
        <f t="shared" si="410"/>
        <v>0</v>
      </c>
      <c r="BM113" s="299">
        <f t="shared" si="410"/>
        <v>0</v>
      </c>
      <c r="BN113" s="262">
        <f t="shared" si="411"/>
        <v>0</v>
      </c>
      <c r="BO113" s="298">
        <f t="shared" si="412"/>
        <v>0</v>
      </c>
      <c r="BP113" s="299">
        <f t="shared" si="412"/>
        <v>0</v>
      </c>
      <c r="BQ113" s="262">
        <f t="shared" si="413"/>
        <v>0</v>
      </c>
    </row>
    <row r="114" spans="1:70">
      <c r="A114" s="676"/>
      <c r="B114" s="678"/>
      <c r="C114" s="290" t="s">
        <v>33</v>
      </c>
      <c r="D114" s="291">
        <f t="shared" si="509"/>
        <v>0</v>
      </c>
      <c r="E114" s="292">
        <f t="shared" si="162"/>
        <v>0</v>
      </c>
      <c r="F114" s="293">
        <f t="shared" si="414"/>
        <v>0</v>
      </c>
      <c r="G114" s="298">
        <f t="shared" si="381"/>
        <v>0</v>
      </c>
      <c r="H114" s="299">
        <f t="shared" si="381"/>
        <v>0</v>
      </c>
      <c r="I114" s="262">
        <f t="shared" si="415"/>
        <v>0</v>
      </c>
      <c r="J114" s="298">
        <f t="shared" ref="J114:K114" si="544">J13*J23</f>
        <v>0</v>
      </c>
      <c r="K114" s="299">
        <f t="shared" si="544"/>
        <v>0</v>
      </c>
      <c r="L114" s="262">
        <f t="shared" si="417"/>
        <v>0</v>
      </c>
      <c r="M114" s="298">
        <f t="shared" ref="M114:N114" si="545">M13*M23</f>
        <v>0</v>
      </c>
      <c r="N114" s="299">
        <f t="shared" si="545"/>
        <v>0</v>
      </c>
      <c r="O114" s="262">
        <f t="shared" si="419"/>
        <v>0</v>
      </c>
      <c r="P114" s="298">
        <f t="shared" ref="P114:Q114" si="546">P13*P23</f>
        <v>0</v>
      </c>
      <c r="Q114" s="299">
        <f t="shared" si="546"/>
        <v>0</v>
      </c>
      <c r="R114" s="262">
        <f t="shared" si="385"/>
        <v>0</v>
      </c>
      <c r="S114" s="298">
        <f t="shared" ref="S114:T114" si="547">S13*S23</f>
        <v>0</v>
      </c>
      <c r="T114" s="299">
        <f t="shared" si="547"/>
        <v>0</v>
      </c>
      <c r="U114" s="262">
        <f t="shared" si="387"/>
        <v>0</v>
      </c>
      <c r="V114" s="298">
        <f t="shared" ref="V114:W114" si="548">V13*V23</f>
        <v>0</v>
      </c>
      <c r="W114" s="299">
        <f t="shared" si="548"/>
        <v>0</v>
      </c>
      <c r="X114" s="262">
        <f t="shared" si="389"/>
        <v>0</v>
      </c>
      <c r="Y114" s="298">
        <f t="shared" ref="Y114:Z114" si="549">Y13*Y23</f>
        <v>0</v>
      </c>
      <c r="Z114" s="299">
        <f t="shared" si="549"/>
        <v>0</v>
      </c>
      <c r="AA114" s="262">
        <f t="shared" si="424"/>
        <v>0</v>
      </c>
      <c r="AB114" s="298">
        <f t="shared" ref="AB114:AC114" si="550">AB13*AB23</f>
        <v>0</v>
      </c>
      <c r="AC114" s="299">
        <f t="shared" si="550"/>
        <v>0</v>
      </c>
      <c r="AD114" s="262">
        <f t="shared" si="426"/>
        <v>0</v>
      </c>
      <c r="AE114" s="298">
        <f t="shared" ref="AE114:AF114" si="551">AE13*AE23</f>
        <v>0</v>
      </c>
      <c r="AF114" s="299">
        <f t="shared" si="551"/>
        <v>0</v>
      </c>
      <c r="AG114" s="262">
        <f t="shared" si="393"/>
        <v>0</v>
      </c>
      <c r="AH114" s="298">
        <f t="shared" ref="AH114:AI114" si="552">AH13*AH23</f>
        <v>0</v>
      </c>
      <c r="AI114" s="299">
        <f t="shared" si="552"/>
        <v>0</v>
      </c>
      <c r="AJ114" s="262">
        <f t="shared" si="395"/>
        <v>0</v>
      </c>
      <c r="AK114" s="298">
        <f t="shared" ref="AK114:AL114" si="553">AK13*AK23</f>
        <v>0</v>
      </c>
      <c r="AL114" s="299">
        <f t="shared" si="553"/>
        <v>0</v>
      </c>
      <c r="AM114" s="262">
        <f t="shared" si="397"/>
        <v>0</v>
      </c>
      <c r="AN114" s="298">
        <f t="shared" ref="AN114:AO114" si="554">AN13*AN23</f>
        <v>0</v>
      </c>
      <c r="AO114" s="299">
        <f t="shared" si="554"/>
        <v>0</v>
      </c>
      <c r="AP114" s="262">
        <f t="shared" si="431"/>
        <v>0</v>
      </c>
      <c r="AQ114" s="298">
        <f t="shared" ref="AQ114:AR114" si="555">AQ13*AQ23</f>
        <v>0</v>
      </c>
      <c r="AR114" s="299">
        <f t="shared" si="555"/>
        <v>0</v>
      </c>
      <c r="AS114" s="262">
        <f t="shared" si="433"/>
        <v>0</v>
      </c>
      <c r="AT114" s="298">
        <f t="shared" ref="AT114:AU114" si="556">AT13*AT23</f>
        <v>0</v>
      </c>
      <c r="AU114" s="299">
        <f t="shared" si="556"/>
        <v>0</v>
      </c>
      <c r="AV114" s="262">
        <f t="shared" si="401"/>
        <v>0</v>
      </c>
      <c r="AW114" s="298">
        <f t="shared" ref="AW114:AX114" si="557">AW13*AW23</f>
        <v>0</v>
      </c>
      <c r="AX114" s="299">
        <f t="shared" si="557"/>
        <v>0</v>
      </c>
      <c r="AY114" s="262">
        <f t="shared" si="403"/>
        <v>0</v>
      </c>
      <c r="AZ114" s="298">
        <f t="shared" ref="AZ114:BA114" si="558">AZ13*AZ23</f>
        <v>0</v>
      </c>
      <c r="BA114" s="299">
        <f t="shared" si="558"/>
        <v>0</v>
      </c>
      <c r="BB114" s="262">
        <f t="shared" si="405"/>
        <v>0</v>
      </c>
      <c r="BC114" s="298">
        <f t="shared" ref="BC114:BD114" si="559">BC13*BC23</f>
        <v>0</v>
      </c>
      <c r="BD114" s="299">
        <f t="shared" si="559"/>
        <v>0</v>
      </c>
      <c r="BE114" s="262">
        <f t="shared" si="438"/>
        <v>0</v>
      </c>
      <c r="BF114" s="298">
        <f t="shared" ref="BF114:BG114" si="560">BF13*BF23</f>
        <v>0</v>
      </c>
      <c r="BG114" s="299">
        <f t="shared" si="560"/>
        <v>0</v>
      </c>
      <c r="BH114" s="262">
        <f t="shared" si="440"/>
        <v>0</v>
      </c>
      <c r="BI114" s="298">
        <f t="shared" si="408"/>
        <v>0</v>
      </c>
      <c r="BJ114" s="299">
        <f t="shared" si="408"/>
        <v>0</v>
      </c>
      <c r="BK114" s="262">
        <f t="shared" si="409"/>
        <v>0</v>
      </c>
      <c r="BL114" s="298">
        <f t="shared" si="410"/>
        <v>0</v>
      </c>
      <c r="BM114" s="299">
        <f t="shared" si="410"/>
        <v>0</v>
      </c>
      <c r="BN114" s="262">
        <f t="shared" si="411"/>
        <v>0</v>
      </c>
      <c r="BO114" s="298">
        <f t="shared" si="412"/>
        <v>0</v>
      </c>
      <c r="BP114" s="299">
        <f t="shared" si="412"/>
        <v>0</v>
      </c>
      <c r="BQ114" s="262">
        <f t="shared" si="413"/>
        <v>0</v>
      </c>
    </row>
    <row r="115" spans="1:70" ht="15.75" thickBot="1">
      <c r="A115" s="677"/>
      <c r="B115" s="679"/>
      <c r="C115" s="300" t="s">
        <v>34</v>
      </c>
      <c r="D115" s="301">
        <f t="shared" si="509"/>
        <v>0</v>
      </c>
      <c r="E115" s="302">
        <f t="shared" si="162"/>
        <v>0</v>
      </c>
      <c r="F115" s="303">
        <f t="shared" si="414"/>
        <v>0</v>
      </c>
      <c r="G115" s="304">
        <f t="shared" si="381"/>
        <v>0</v>
      </c>
      <c r="H115" s="305">
        <f t="shared" si="381"/>
        <v>0</v>
      </c>
      <c r="I115" s="267">
        <f t="shared" si="415"/>
        <v>0</v>
      </c>
      <c r="J115" s="304">
        <f t="shared" ref="J115:K115" si="561">J14*J24</f>
        <v>0</v>
      </c>
      <c r="K115" s="305">
        <f t="shared" si="561"/>
        <v>0</v>
      </c>
      <c r="L115" s="267">
        <f t="shared" si="417"/>
        <v>0</v>
      </c>
      <c r="M115" s="304">
        <f t="shared" ref="M115:N115" si="562">M14*M24</f>
        <v>0</v>
      </c>
      <c r="N115" s="305">
        <f t="shared" si="562"/>
        <v>0</v>
      </c>
      <c r="O115" s="267">
        <f t="shared" si="419"/>
        <v>0</v>
      </c>
      <c r="P115" s="304">
        <f t="shared" ref="P115:Q115" si="563">P14*P24</f>
        <v>0</v>
      </c>
      <c r="Q115" s="305">
        <f t="shared" si="563"/>
        <v>0</v>
      </c>
      <c r="R115" s="267">
        <f t="shared" si="385"/>
        <v>0</v>
      </c>
      <c r="S115" s="304">
        <f t="shared" ref="S115:T115" si="564">S14*S24</f>
        <v>0</v>
      </c>
      <c r="T115" s="305">
        <f t="shared" si="564"/>
        <v>0</v>
      </c>
      <c r="U115" s="267">
        <f t="shared" si="387"/>
        <v>0</v>
      </c>
      <c r="V115" s="304">
        <f t="shared" ref="V115:W115" si="565">V14*V24</f>
        <v>0</v>
      </c>
      <c r="W115" s="305">
        <f t="shared" si="565"/>
        <v>0</v>
      </c>
      <c r="X115" s="267">
        <f t="shared" si="389"/>
        <v>0</v>
      </c>
      <c r="Y115" s="304">
        <f t="shared" ref="Y115:Z115" si="566">Y14*Y24</f>
        <v>0</v>
      </c>
      <c r="Z115" s="305">
        <f t="shared" si="566"/>
        <v>0</v>
      </c>
      <c r="AA115" s="267">
        <f t="shared" si="424"/>
        <v>0</v>
      </c>
      <c r="AB115" s="304">
        <f t="shared" ref="AB115:AC115" si="567">AB14*AB24</f>
        <v>0</v>
      </c>
      <c r="AC115" s="305">
        <f t="shared" si="567"/>
        <v>0</v>
      </c>
      <c r="AD115" s="267">
        <f t="shared" si="426"/>
        <v>0</v>
      </c>
      <c r="AE115" s="304">
        <f t="shared" ref="AE115:AF115" si="568">AE14*AE24</f>
        <v>0</v>
      </c>
      <c r="AF115" s="305">
        <f t="shared" si="568"/>
        <v>0</v>
      </c>
      <c r="AG115" s="267">
        <f t="shared" si="393"/>
        <v>0</v>
      </c>
      <c r="AH115" s="304">
        <f t="shared" ref="AH115:AI115" si="569">AH14*AH24</f>
        <v>0</v>
      </c>
      <c r="AI115" s="305">
        <f t="shared" si="569"/>
        <v>0</v>
      </c>
      <c r="AJ115" s="267">
        <f t="shared" si="395"/>
        <v>0</v>
      </c>
      <c r="AK115" s="304">
        <f t="shared" ref="AK115:AL115" si="570">AK14*AK24</f>
        <v>0</v>
      </c>
      <c r="AL115" s="305">
        <f t="shared" si="570"/>
        <v>0</v>
      </c>
      <c r="AM115" s="267">
        <f t="shared" si="397"/>
        <v>0</v>
      </c>
      <c r="AN115" s="304">
        <f t="shared" ref="AN115:AO115" si="571">AN14*AN24</f>
        <v>0</v>
      </c>
      <c r="AO115" s="305">
        <f t="shared" si="571"/>
        <v>0</v>
      </c>
      <c r="AP115" s="267">
        <f t="shared" si="431"/>
        <v>0</v>
      </c>
      <c r="AQ115" s="304">
        <f t="shared" ref="AQ115:AR115" si="572">AQ14*AQ24</f>
        <v>0</v>
      </c>
      <c r="AR115" s="305">
        <f t="shared" si="572"/>
        <v>0</v>
      </c>
      <c r="AS115" s="267">
        <f t="shared" si="433"/>
        <v>0</v>
      </c>
      <c r="AT115" s="304">
        <f t="shared" ref="AT115:AU115" si="573">AT14*AT24</f>
        <v>0</v>
      </c>
      <c r="AU115" s="305">
        <f t="shared" si="573"/>
        <v>0</v>
      </c>
      <c r="AV115" s="267">
        <f t="shared" si="401"/>
        <v>0</v>
      </c>
      <c r="AW115" s="304">
        <f t="shared" ref="AW115:AX115" si="574">AW14*AW24</f>
        <v>0</v>
      </c>
      <c r="AX115" s="305">
        <f t="shared" si="574"/>
        <v>0</v>
      </c>
      <c r="AY115" s="267">
        <f t="shared" si="403"/>
        <v>0</v>
      </c>
      <c r="AZ115" s="304">
        <f t="shared" ref="AZ115:BA115" si="575">AZ14*AZ24</f>
        <v>0</v>
      </c>
      <c r="BA115" s="305">
        <f t="shared" si="575"/>
        <v>0</v>
      </c>
      <c r="BB115" s="267">
        <f t="shared" si="405"/>
        <v>0</v>
      </c>
      <c r="BC115" s="304">
        <f t="shared" ref="BC115:BD115" si="576">BC14*BC24</f>
        <v>0</v>
      </c>
      <c r="BD115" s="305">
        <f t="shared" si="576"/>
        <v>0</v>
      </c>
      <c r="BE115" s="267">
        <f t="shared" si="438"/>
        <v>0</v>
      </c>
      <c r="BF115" s="304">
        <f t="shared" ref="BF115:BG115" si="577">BF14*BF24</f>
        <v>0</v>
      </c>
      <c r="BG115" s="305">
        <f t="shared" si="577"/>
        <v>0</v>
      </c>
      <c r="BH115" s="267">
        <f t="shared" si="440"/>
        <v>0</v>
      </c>
      <c r="BI115" s="304">
        <f t="shared" si="408"/>
        <v>0</v>
      </c>
      <c r="BJ115" s="305">
        <f t="shared" si="408"/>
        <v>0</v>
      </c>
      <c r="BK115" s="267">
        <f t="shared" si="409"/>
        <v>0</v>
      </c>
      <c r="BL115" s="304">
        <f t="shared" si="410"/>
        <v>0</v>
      </c>
      <c r="BM115" s="305">
        <f t="shared" si="410"/>
        <v>0</v>
      </c>
      <c r="BN115" s="267">
        <f t="shared" si="411"/>
        <v>0</v>
      </c>
      <c r="BO115" s="304">
        <f t="shared" si="412"/>
        <v>0</v>
      </c>
      <c r="BP115" s="305">
        <f t="shared" si="412"/>
        <v>0</v>
      </c>
      <c r="BQ115" s="267">
        <f t="shared" si="413"/>
        <v>0</v>
      </c>
    </row>
    <row r="116" spans="1:70">
      <c r="A116" s="676" t="s">
        <v>145</v>
      </c>
      <c r="B116" s="678" t="s">
        <v>13</v>
      </c>
      <c r="C116" s="290" t="s">
        <v>25</v>
      </c>
      <c r="D116" s="291">
        <f t="shared" ref="D116:D131" si="578">SUM(G116,J116,M116,P116,S116,V116,Y116,AB116,AE116,AH116,AK116,AN116,AQ116,AT116,AW116,AZ116,AZ116,BC116,BF116,BI116,BL116,BO116)</f>
        <v>0</v>
      </c>
      <c r="E116" s="292">
        <f t="shared" si="162"/>
        <v>0</v>
      </c>
      <c r="F116" s="293">
        <f t="shared" ref="F116:F135" si="579">SUM(I116,L116,O116,R116,U116,X116,AA116,AD116,AG116,AJ116,AM116,AP116,AS116,AV116,AY116,BB116,BB116,BE116,BH116,BK116,BN116,BQ116)</f>
        <v>0</v>
      </c>
      <c r="G116" s="306">
        <f t="shared" ref="G116:H125" si="580">G5*G25</f>
        <v>0</v>
      </c>
      <c r="H116" s="307">
        <f t="shared" si="580"/>
        <v>0</v>
      </c>
      <c r="I116" s="257">
        <f>H116-G116</f>
        <v>0</v>
      </c>
      <c r="J116" s="306">
        <f t="shared" ref="J116:K116" si="581">J5*J25</f>
        <v>0</v>
      </c>
      <c r="K116" s="307">
        <f t="shared" si="581"/>
        <v>0</v>
      </c>
      <c r="L116" s="257">
        <f>K116-J116</f>
        <v>0</v>
      </c>
      <c r="M116" s="306">
        <f t="shared" ref="M116:N116" si="582">M5*M25</f>
        <v>0</v>
      </c>
      <c r="N116" s="307">
        <f t="shared" si="582"/>
        <v>0</v>
      </c>
      <c r="O116" s="257">
        <f>N116-M116</f>
        <v>0</v>
      </c>
      <c r="P116" s="306">
        <f t="shared" ref="P116:Q116" si="583">P5*P25</f>
        <v>0</v>
      </c>
      <c r="Q116" s="307">
        <f t="shared" si="583"/>
        <v>0</v>
      </c>
      <c r="R116" s="257">
        <f>Q116-P116</f>
        <v>0</v>
      </c>
      <c r="S116" s="306">
        <f t="shared" ref="S116:T116" si="584">S5*S25</f>
        <v>0</v>
      </c>
      <c r="T116" s="307">
        <f t="shared" si="584"/>
        <v>0</v>
      </c>
      <c r="U116" s="257">
        <f>T116-S116</f>
        <v>0</v>
      </c>
      <c r="V116" s="306">
        <f t="shared" ref="V116:W116" si="585">V5*V25</f>
        <v>0</v>
      </c>
      <c r="W116" s="307">
        <f t="shared" si="585"/>
        <v>0</v>
      </c>
      <c r="X116" s="257">
        <f>W116-V116</f>
        <v>0</v>
      </c>
      <c r="Y116" s="306">
        <f t="shared" ref="Y116:Z116" si="586">Y5*Y25</f>
        <v>0</v>
      </c>
      <c r="Z116" s="307">
        <f t="shared" si="586"/>
        <v>0</v>
      </c>
      <c r="AA116" s="257">
        <f>Z116-Y116</f>
        <v>0</v>
      </c>
      <c r="AB116" s="306">
        <f t="shared" ref="AB116:AC116" si="587">AB5*AB25</f>
        <v>0</v>
      </c>
      <c r="AC116" s="307">
        <f t="shared" si="587"/>
        <v>0</v>
      </c>
      <c r="AD116" s="257">
        <f>AC116-AB116</f>
        <v>0</v>
      </c>
      <c r="AE116" s="306">
        <f t="shared" ref="AE116:AF116" si="588">AE5*AE25</f>
        <v>0</v>
      </c>
      <c r="AF116" s="307">
        <f t="shared" si="588"/>
        <v>0</v>
      </c>
      <c r="AG116" s="257">
        <f>AF116-AE116</f>
        <v>0</v>
      </c>
      <c r="AH116" s="306">
        <f t="shared" ref="AH116:AI116" si="589">AH5*AH25</f>
        <v>0</v>
      </c>
      <c r="AI116" s="307">
        <f t="shared" si="589"/>
        <v>0</v>
      </c>
      <c r="AJ116" s="257">
        <f>AI116-AH116</f>
        <v>0</v>
      </c>
      <c r="AK116" s="306">
        <f t="shared" ref="AK116:AL116" si="590">AK5*AK25</f>
        <v>0</v>
      </c>
      <c r="AL116" s="307">
        <f t="shared" si="590"/>
        <v>0</v>
      </c>
      <c r="AM116" s="257">
        <f>AL116-AK116</f>
        <v>0</v>
      </c>
      <c r="AN116" s="306">
        <f t="shared" ref="AN116:AO116" si="591">AN5*AN25</f>
        <v>0</v>
      </c>
      <c r="AO116" s="307">
        <f t="shared" si="591"/>
        <v>0</v>
      </c>
      <c r="AP116" s="257">
        <f>AO116-AN116</f>
        <v>0</v>
      </c>
      <c r="AQ116" s="306">
        <f t="shared" ref="AQ116:AR116" si="592">AQ5*AQ25</f>
        <v>0</v>
      </c>
      <c r="AR116" s="307">
        <f t="shared" si="592"/>
        <v>0</v>
      </c>
      <c r="AS116" s="257">
        <f>AR116-AQ116</f>
        <v>0</v>
      </c>
      <c r="AT116" s="306">
        <f t="shared" ref="AT116:AU116" si="593">AT5*AT25</f>
        <v>0</v>
      </c>
      <c r="AU116" s="307">
        <f t="shared" si="593"/>
        <v>0</v>
      </c>
      <c r="AV116" s="257">
        <f>AU116-AT116</f>
        <v>0</v>
      </c>
      <c r="AW116" s="306">
        <f t="shared" ref="AW116:AX116" si="594">AW5*AW25</f>
        <v>0</v>
      </c>
      <c r="AX116" s="307">
        <f t="shared" si="594"/>
        <v>0</v>
      </c>
      <c r="AY116" s="257">
        <f>AX116-AW116</f>
        <v>0</v>
      </c>
      <c r="AZ116" s="306">
        <f t="shared" ref="AZ116:BA116" si="595">AZ5*AZ25</f>
        <v>0</v>
      </c>
      <c r="BA116" s="307">
        <f t="shared" si="595"/>
        <v>0</v>
      </c>
      <c r="BB116" s="257">
        <f>BA116-AZ116</f>
        <v>0</v>
      </c>
      <c r="BC116" s="306">
        <f t="shared" ref="BC116:BD116" si="596">BC5*BC25</f>
        <v>0</v>
      </c>
      <c r="BD116" s="307">
        <f t="shared" si="596"/>
        <v>0</v>
      </c>
      <c r="BE116" s="257">
        <f>BD116-BC116</f>
        <v>0</v>
      </c>
      <c r="BF116" s="306">
        <f t="shared" ref="BF116:BG116" si="597">BF5*BF25</f>
        <v>0</v>
      </c>
      <c r="BG116" s="307">
        <f t="shared" si="597"/>
        <v>0</v>
      </c>
      <c r="BH116" s="257">
        <f>BG116-BF116</f>
        <v>0</v>
      </c>
      <c r="BI116" s="306">
        <f t="shared" ref="BI116:BJ125" si="598">BI5*BI25</f>
        <v>0</v>
      </c>
      <c r="BJ116" s="307">
        <f t="shared" si="598"/>
        <v>0</v>
      </c>
      <c r="BK116" s="257">
        <f>BJ116-BI116</f>
        <v>0</v>
      </c>
      <c r="BL116" s="306">
        <f t="shared" ref="BL116:BM125" si="599">BL5*BL25</f>
        <v>0</v>
      </c>
      <c r="BM116" s="307">
        <f t="shared" si="599"/>
        <v>0</v>
      </c>
      <c r="BN116" s="257">
        <f>BM116-BL116</f>
        <v>0</v>
      </c>
      <c r="BO116" s="306">
        <f t="shared" ref="BO116:BP125" si="600">BO5*BO25</f>
        <v>0</v>
      </c>
      <c r="BP116" s="307">
        <f t="shared" si="600"/>
        <v>0</v>
      </c>
      <c r="BQ116" s="257">
        <f>BP116-BO116</f>
        <v>0</v>
      </c>
    </row>
    <row r="117" spans="1:70">
      <c r="A117" s="676"/>
      <c r="B117" s="678"/>
      <c r="C117" s="290" t="s">
        <v>26</v>
      </c>
      <c r="D117" s="291">
        <f t="shared" si="578"/>
        <v>0</v>
      </c>
      <c r="E117" s="292">
        <f t="shared" si="162"/>
        <v>0</v>
      </c>
      <c r="F117" s="293">
        <f t="shared" si="579"/>
        <v>0</v>
      </c>
      <c r="G117" s="298">
        <f t="shared" si="580"/>
        <v>0</v>
      </c>
      <c r="H117" s="299">
        <f t="shared" si="580"/>
        <v>0</v>
      </c>
      <c r="I117" s="262">
        <f t="shared" ref="I117:I125" si="601">H117-G117</f>
        <v>0</v>
      </c>
      <c r="J117" s="298">
        <f t="shared" ref="J117:K117" si="602">J6*J26</f>
        <v>0</v>
      </c>
      <c r="K117" s="299">
        <f t="shared" si="602"/>
        <v>0</v>
      </c>
      <c r="L117" s="262">
        <f t="shared" ref="L117:L125" si="603">K117-J117</f>
        <v>0</v>
      </c>
      <c r="M117" s="298">
        <f t="shared" ref="M117:N117" si="604">M6*M26</f>
        <v>0</v>
      </c>
      <c r="N117" s="299">
        <f t="shared" si="604"/>
        <v>0</v>
      </c>
      <c r="O117" s="262">
        <f t="shared" ref="O117:O125" si="605">N117-M117</f>
        <v>0</v>
      </c>
      <c r="P117" s="298">
        <f t="shared" ref="P117:Q117" si="606">P6*P26</f>
        <v>0</v>
      </c>
      <c r="Q117" s="299">
        <f t="shared" si="606"/>
        <v>0</v>
      </c>
      <c r="R117" s="262">
        <f t="shared" ref="R117:R125" si="607">Q117-P117</f>
        <v>0</v>
      </c>
      <c r="S117" s="298">
        <f t="shared" ref="S117:T117" si="608">S6*S26</f>
        <v>0</v>
      </c>
      <c r="T117" s="299">
        <f t="shared" si="608"/>
        <v>0</v>
      </c>
      <c r="U117" s="262">
        <f t="shared" ref="U117:U125" si="609">T117-S117</f>
        <v>0</v>
      </c>
      <c r="V117" s="298">
        <f t="shared" ref="V117:W117" si="610">V6*V26</f>
        <v>0</v>
      </c>
      <c r="W117" s="299">
        <f t="shared" si="610"/>
        <v>0</v>
      </c>
      <c r="X117" s="262">
        <f t="shared" ref="X117:X125" si="611">W117-V117</f>
        <v>0</v>
      </c>
      <c r="Y117" s="298">
        <f t="shared" ref="Y117:Z117" si="612">Y6*Y26</f>
        <v>0</v>
      </c>
      <c r="Z117" s="299">
        <f t="shared" si="612"/>
        <v>0</v>
      </c>
      <c r="AA117" s="262">
        <f t="shared" ref="AA117:AA125" si="613">Z117-Y117</f>
        <v>0</v>
      </c>
      <c r="AB117" s="298">
        <f t="shared" ref="AB117:AC117" si="614">AB6*AB26</f>
        <v>0</v>
      </c>
      <c r="AC117" s="299">
        <f t="shared" si="614"/>
        <v>0</v>
      </c>
      <c r="AD117" s="262">
        <f t="shared" ref="AD117:AD125" si="615">AC117-AB117</f>
        <v>0</v>
      </c>
      <c r="AE117" s="298">
        <f t="shared" ref="AE117:AF117" si="616">AE6*AE26</f>
        <v>0</v>
      </c>
      <c r="AF117" s="299">
        <f t="shared" si="616"/>
        <v>0</v>
      </c>
      <c r="AG117" s="262">
        <f t="shared" ref="AG117:AG125" si="617">AF117-AE117</f>
        <v>0</v>
      </c>
      <c r="AH117" s="298">
        <f t="shared" ref="AH117:AI117" si="618">AH6*AH26</f>
        <v>0</v>
      </c>
      <c r="AI117" s="299">
        <f t="shared" si="618"/>
        <v>0</v>
      </c>
      <c r="AJ117" s="262">
        <f t="shared" ref="AJ117:AJ125" si="619">AI117-AH117</f>
        <v>0</v>
      </c>
      <c r="AK117" s="298">
        <f t="shared" ref="AK117:AL117" si="620">AK6*AK26</f>
        <v>0</v>
      </c>
      <c r="AL117" s="299">
        <f t="shared" si="620"/>
        <v>0</v>
      </c>
      <c r="AM117" s="262">
        <f t="shared" ref="AM117:AM125" si="621">AL117-AK117</f>
        <v>0</v>
      </c>
      <c r="AN117" s="298">
        <f t="shared" ref="AN117:AO117" si="622">AN6*AN26</f>
        <v>0</v>
      </c>
      <c r="AO117" s="299">
        <f t="shared" si="622"/>
        <v>0</v>
      </c>
      <c r="AP117" s="262">
        <f t="shared" ref="AP117:AP125" si="623">AO117-AN117</f>
        <v>0</v>
      </c>
      <c r="AQ117" s="298">
        <f t="shared" ref="AQ117:AR117" si="624">AQ6*AQ26</f>
        <v>0</v>
      </c>
      <c r="AR117" s="299">
        <f t="shared" si="624"/>
        <v>0</v>
      </c>
      <c r="AS117" s="262">
        <f t="shared" ref="AS117:AS125" si="625">AR117-AQ117</f>
        <v>0</v>
      </c>
      <c r="AT117" s="298">
        <f t="shared" ref="AT117:AU117" si="626">AT6*AT26</f>
        <v>0</v>
      </c>
      <c r="AU117" s="299">
        <f t="shared" si="626"/>
        <v>0</v>
      </c>
      <c r="AV117" s="262">
        <f t="shared" ref="AV117:AV125" si="627">AU117-AT117</f>
        <v>0</v>
      </c>
      <c r="AW117" s="298">
        <f t="shared" ref="AW117:AX117" si="628">AW6*AW26</f>
        <v>0</v>
      </c>
      <c r="AX117" s="299">
        <f t="shared" si="628"/>
        <v>0</v>
      </c>
      <c r="AY117" s="262">
        <f t="shared" ref="AY117:AY125" si="629">AX117-AW117</f>
        <v>0</v>
      </c>
      <c r="AZ117" s="298">
        <f t="shared" ref="AZ117:BA117" si="630">AZ6*AZ26</f>
        <v>0</v>
      </c>
      <c r="BA117" s="299">
        <f t="shared" si="630"/>
        <v>0</v>
      </c>
      <c r="BB117" s="262">
        <f t="shared" ref="BB117:BB125" si="631">BA117-AZ117</f>
        <v>0</v>
      </c>
      <c r="BC117" s="298">
        <f t="shared" ref="BC117:BD117" si="632">BC6*BC26</f>
        <v>0</v>
      </c>
      <c r="BD117" s="299">
        <f t="shared" si="632"/>
        <v>0</v>
      </c>
      <c r="BE117" s="262">
        <f t="shared" ref="BE117:BE125" si="633">BD117-BC117</f>
        <v>0</v>
      </c>
      <c r="BF117" s="298">
        <f t="shared" ref="BF117:BG117" si="634">BF6*BF26</f>
        <v>0</v>
      </c>
      <c r="BG117" s="299">
        <f t="shared" si="634"/>
        <v>0</v>
      </c>
      <c r="BH117" s="262">
        <f t="shared" ref="BH117:BH125" si="635">BG117-BF117</f>
        <v>0</v>
      </c>
      <c r="BI117" s="298">
        <f t="shared" si="598"/>
        <v>0</v>
      </c>
      <c r="BJ117" s="299">
        <f t="shared" si="598"/>
        <v>0</v>
      </c>
      <c r="BK117" s="262">
        <f t="shared" ref="BK117:BK125" si="636">BJ117-BI117</f>
        <v>0</v>
      </c>
      <c r="BL117" s="298">
        <f t="shared" si="599"/>
        <v>0</v>
      </c>
      <c r="BM117" s="299">
        <f t="shared" si="599"/>
        <v>0</v>
      </c>
      <c r="BN117" s="262">
        <f t="shared" ref="BN117:BN125" si="637">BM117-BL117</f>
        <v>0</v>
      </c>
      <c r="BO117" s="298">
        <f t="shared" si="600"/>
        <v>0</v>
      </c>
      <c r="BP117" s="299">
        <f t="shared" si="600"/>
        <v>0</v>
      </c>
      <c r="BQ117" s="262">
        <f t="shared" ref="BQ117:BQ125" si="638">BP117-BO117</f>
        <v>0</v>
      </c>
    </row>
    <row r="118" spans="1:70">
      <c r="A118" s="676"/>
      <c r="B118" s="678"/>
      <c r="C118" s="290" t="s">
        <v>27</v>
      </c>
      <c r="D118" s="291">
        <f t="shared" si="578"/>
        <v>0</v>
      </c>
      <c r="E118" s="292">
        <f t="shared" si="162"/>
        <v>0</v>
      </c>
      <c r="F118" s="293">
        <f t="shared" si="579"/>
        <v>0</v>
      </c>
      <c r="G118" s="298">
        <f t="shared" si="580"/>
        <v>0</v>
      </c>
      <c r="H118" s="299">
        <f t="shared" si="580"/>
        <v>0</v>
      </c>
      <c r="I118" s="262">
        <f t="shared" si="601"/>
        <v>0</v>
      </c>
      <c r="J118" s="298">
        <f t="shared" ref="J118:K118" si="639">J7*J27</f>
        <v>0</v>
      </c>
      <c r="K118" s="299">
        <f t="shared" si="639"/>
        <v>0</v>
      </c>
      <c r="L118" s="262">
        <f t="shared" si="603"/>
        <v>0</v>
      </c>
      <c r="M118" s="298">
        <f t="shared" ref="M118:N118" si="640">M7*M27</f>
        <v>0</v>
      </c>
      <c r="N118" s="299">
        <f t="shared" si="640"/>
        <v>0</v>
      </c>
      <c r="O118" s="262">
        <f t="shared" si="605"/>
        <v>0</v>
      </c>
      <c r="P118" s="298">
        <f t="shared" ref="P118:Q118" si="641">P7*P27</f>
        <v>0</v>
      </c>
      <c r="Q118" s="299">
        <f t="shared" si="641"/>
        <v>0</v>
      </c>
      <c r="R118" s="262">
        <f t="shared" si="607"/>
        <v>0</v>
      </c>
      <c r="S118" s="298">
        <f t="shared" ref="S118:T118" si="642">S7*S27</f>
        <v>0</v>
      </c>
      <c r="T118" s="299">
        <f t="shared" si="642"/>
        <v>0</v>
      </c>
      <c r="U118" s="262">
        <f t="shared" si="609"/>
        <v>0</v>
      </c>
      <c r="V118" s="298">
        <f t="shared" ref="V118:W118" si="643">V7*V27</f>
        <v>0</v>
      </c>
      <c r="W118" s="299">
        <f t="shared" si="643"/>
        <v>0</v>
      </c>
      <c r="X118" s="262">
        <f t="shared" si="611"/>
        <v>0</v>
      </c>
      <c r="Y118" s="298">
        <f t="shared" ref="Y118:Z118" si="644">Y7*Y27</f>
        <v>0</v>
      </c>
      <c r="Z118" s="299">
        <f t="shared" si="644"/>
        <v>0</v>
      </c>
      <c r="AA118" s="262">
        <f t="shared" si="613"/>
        <v>0</v>
      </c>
      <c r="AB118" s="298">
        <f t="shared" ref="AB118:AC118" si="645">AB7*AB27</f>
        <v>0</v>
      </c>
      <c r="AC118" s="299">
        <f t="shared" si="645"/>
        <v>0</v>
      </c>
      <c r="AD118" s="262">
        <f t="shared" si="615"/>
        <v>0</v>
      </c>
      <c r="AE118" s="298">
        <f t="shared" ref="AE118:AF118" si="646">AE7*AE27</f>
        <v>0</v>
      </c>
      <c r="AF118" s="299">
        <f t="shared" si="646"/>
        <v>0</v>
      </c>
      <c r="AG118" s="262">
        <f t="shared" si="617"/>
        <v>0</v>
      </c>
      <c r="AH118" s="298">
        <f t="shared" ref="AH118:AI118" si="647">AH7*AH27</f>
        <v>0</v>
      </c>
      <c r="AI118" s="299">
        <f t="shared" si="647"/>
        <v>0</v>
      </c>
      <c r="AJ118" s="262">
        <f t="shared" si="619"/>
        <v>0</v>
      </c>
      <c r="AK118" s="298">
        <f t="shared" ref="AK118:AL118" si="648">AK7*AK27</f>
        <v>0</v>
      </c>
      <c r="AL118" s="299">
        <f t="shared" si="648"/>
        <v>0</v>
      </c>
      <c r="AM118" s="262">
        <f t="shared" si="621"/>
        <v>0</v>
      </c>
      <c r="AN118" s="298">
        <f t="shared" ref="AN118:AO118" si="649">AN7*AN27</f>
        <v>0</v>
      </c>
      <c r="AO118" s="299">
        <f t="shared" si="649"/>
        <v>0</v>
      </c>
      <c r="AP118" s="262">
        <f t="shared" si="623"/>
        <v>0</v>
      </c>
      <c r="AQ118" s="298">
        <f t="shared" ref="AQ118:AR118" si="650">AQ7*AQ27</f>
        <v>0</v>
      </c>
      <c r="AR118" s="299">
        <f t="shared" si="650"/>
        <v>0</v>
      </c>
      <c r="AS118" s="262">
        <f t="shared" si="625"/>
        <v>0</v>
      </c>
      <c r="AT118" s="298">
        <f t="shared" ref="AT118:AU118" si="651">AT7*AT27</f>
        <v>0</v>
      </c>
      <c r="AU118" s="299">
        <f t="shared" si="651"/>
        <v>0</v>
      </c>
      <c r="AV118" s="262">
        <f t="shared" si="627"/>
        <v>0</v>
      </c>
      <c r="AW118" s="298">
        <f t="shared" ref="AW118:AX118" si="652">AW7*AW27</f>
        <v>0</v>
      </c>
      <c r="AX118" s="299">
        <f t="shared" si="652"/>
        <v>0</v>
      </c>
      <c r="AY118" s="262">
        <f t="shared" si="629"/>
        <v>0</v>
      </c>
      <c r="AZ118" s="298">
        <f t="shared" ref="AZ118:BA118" si="653">AZ7*AZ27</f>
        <v>0</v>
      </c>
      <c r="BA118" s="299">
        <f t="shared" si="653"/>
        <v>0</v>
      </c>
      <c r="BB118" s="262">
        <f t="shared" si="631"/>
        <v>0</v>
      </c>
      <c r="BC118" s="298">
        <f t="shared" ref="BC118:BD118" si="654">BC7*BC27</f>
        <v>0</v>
      </c>
      <c r="BD118" s="299">
        <f t="shared" si="654"/>
        <v>0</v>
      </c>
      <c r="BE118" s="262">
        <f t="shared" si="633"/>
        <v>0</v>
      </c>
      <c r="BF118" s="298">
        <f t="shared" ref="BF118:BG118" si="655">BF7*BF27</f>
        <v>0</v>
      </c>
      <c r="BG118" s="299">
        <f t="shared" si="655"/>
        <v>0</v>
      </c>
      <c r="BH118" s="262">
        <f t="shared" si="635"/>
        <v>0</v>
      </c>
      <c r="BI118" s="298">
        <f t="shared" si="598"/>
        <v>0</v>
      </c>
      <c r="BJ118" s="299">
        <f t="shared" si="598"/>
        <v>0</v>
      </c>
      <c r="BK118" s="262">
        <f t="shared" si="636"/>
        <v>0</v>
      </c>
      <c r="BL118" s="298">
        <f t="shared" si="599"/>
        <v>0</v>
      </c>
      <c r="BM118" s="299">
        <f t="shared" si="599"/>
        <v>0</v>
      </c>
      <c r="BN118" s="262">
        <f t="shared" si="637"/>
        <v>0</v>
      </c>
      <c r="BO118" s="298">
        <f t="shared" si="600"/>
        <v>0</v>
      </c>
      <c r="BP118" s="299">
        <f t="shared" si="600"/>
        <v>0</v>
      </c>
      <c r="BQ118" s="262">
        <f t="shared" si="638"/>
        <v>0</v>
      </c>
    </row>
    <row r="119" spans="1:70">
      <c r="A119" s="676"/>
      <c r="B119" s="678"/>
      <c r="C119" s="290" t="s">
        <v>28</v>
      </c>
      <c r="D119" s="291">
        <f t="shared" si="578"/>
        <v>0</v>
      </c>
      <c r="E119" s="292">
        <f t="shared" si="162"/>
        <v>0</v>
      </c>
      <c r="F119" s="293">
        <f t="shared" si="579"/>
        <v>0</v>
      </c>
      <c r="G119" s="298">
        <f t="shared" si="580"/>
        <v>0</v>
      </c>
      <c r="H119" s="299">
        <f t="shared" si="580"/>
        <v>0</v>
      </c>
      <c r="I119" s="262">
        <f t="shared" si="601"/>
        <v>0</v>
      </c>
      <c r="J119" s="298">
        <f t="shared" ref="J119:K119" si="656">J8*J28</f>
        <v>0</v>
      </c>
      <c r="K119" s="299">
        <f t="shared" si="656"/>
        <v>0</v>
      </c>
      <c r="L119" s="262">
        <f t="shared" si="603"/>
        <v>0</v>
      </c>
      <c r="M119" s="298">
        <f t="shared" ref="M119:N119" si="657">M8*M28</f>
        <v>0</v>
      </c>
      <c r="N119" s="299">
        <f t="shared" si="657"/>
        <v>0</v>
      </c>
      <c r="O119" s="262">
        <f t="shared" si="605"/>
        <v>0</v>
      </c>
      <c r="P119" s="298">
        <f t="shared" ref="P119:Q119" si="658">P8*P28</f>
        <v>0</v>
      </c>
      <c r="Q119" s="299">
        <f t="shared" si="658"/>
        <v>0</v>
      </c>
      <c r="R119" s="262">
        <f t="shared" si="607"/>
        <v>0</v>
      </c>
      <c r="S119" s="298">
        <f t="shared" ref="S119:T119" si="659">S8*S28</f>
        <v>0</v>
      </c>
      <c r="T119" s="299">
        <f t="shared" si="659"/>
        <v>0</v>
      </c>
      <c r="U119" s="262">
        <f t="shared" si="609"/>
        <v>0</v>
      </c>
      <c r="V119" s="298">
        <f t="shared" ref="V119:W119" si="660">V8*V28</f>
        <v>0</v>
      </c>
      <c r="W119" s="299">
        <f t="shared" si="660"/>
        <v>0</v>
      </c>
      <c r="X119" s="262">
        <f t="shared" si="611"/>
        <v>0</v>
      </c>
      <c r="Y119" s="298">
        <f t="shared" ref="Y119:Z119" si="661">Y8*Y28</f>
        <v>0</v>
      </c>
      <c r="Z119" s="299">
        <f t="shared" si="661"/>
        <v>0</v>
      </c>
      <c r="AA119" s="262">
        <f t="shared" si="613"/>
        <v>0</v>
      </c>
      <c r="AB119" s="298">
        <f t="shared" ref="AB119:AC119" si="662">AB8*AB28</f>
        <v>0</v>
      </c>
      <c r="AC119" s="299">
        <f t="shared" si="662"/>
        <v>0</v>
      </c>
      <c r="AD119" s="262">
        <f t="shared" si="615"/>
        <v>0</v>
      </c>
      <c r="AE119" s="298">
        <f t="shared" ref="AE119:AF119" si="663">AE8*AE28</f>
        <v>0</v>
      </c>
      <c r="AF119" s="299">
        <f t="shared" si="663"/>
        <v>0</v>
      </c>
      <c r="AG119" s="262">
        <f t="shared" si="617"/>
        <v>0</v>
      </c>
      <c r="AH119" s="298">
        <f t="shared" ref="AH119:AI119" si="664">AH8*AH28</f>
        <v>0</v>
      </c>
      <c r="AI119" s="299">
        <f t="shared" si="664"/>
        <v>0</v>
      </c>
      <c r="AJ119" s="262">
        <f t="shared" si="619"/>
        <v>0</v>
      </c>
      <c r="AK119" s="298">
        <f t="shared" ref="AK119:AL119" si="665">AK8*AK28</f>
        <v>0</v>
      </c>
      <c r="AL119" s="299">
        <f t="shared" si="665"/>
        <v>0</v>
      </c>
      <c r="AM119" s="262">
        <f t="shared" si="621"/>
        <v>0</v>
      </c>
      <c r="AN119" s="298">
        <f t="shared" ref="AN119:AO119" si="666">AN8*AN28</f>
        <v>0</v>
      </c>
      <c r="AO119" s="299">
        <f t="shared" si="666"/>
        <v>0</v>
      </c>
      <c r="AP119" s="262">
        <f t="shared" si="623"/>
        <v>0</v>
      </c>
      <c r="AQ119" s="298">
        <f t="shared" ref="AQ119:AR119" si="667">AQ8*AQ28</f>
        <v>0</v>
      </c>
      <c r="AR119" s="299">
        <f t="shared" si="667"/>
        <v>0</v>
      </c>
      <c r="AS119" s="262">
        <f t="shared" si="625"/>
        <v>0</v>
      </c>
      <c r="AT119" s="298">
        <f t="shared" ref="AT119:AU119" si="668">AT8*AT28</f>
        <v>0</v>
      </c>
      <c r="AU119" s="299">
        <f t="shared" si="668"/>
        <v>0</v>
      </c>
      <c r="AV119" s="262">
        <f t="shared" si="627"/>
        <v>0</v>
      </c>
      <c r="AW119" s="298">
        <f t="shared" ref="AW119:AX119" si="669">AW8*AW28</f>
        <v>0</v>
      </c>
      <c r="AX119" s="299">
        <f t="shared" si="669"/>
        <v>0</v>
      </c>
      <c r="AY119" s="262">
        <f t="shared" si="629"/>
        <v>0</v>
      </c>
      <c r="AZ119" s="298">
        <f t="shared" ref="AZ119:BA119" si="670">AZ8*AZ28</f>
        <v>0</v>
      </c>
      <c r="BA119" s="299">
        <f t="shared" si="670"/>
        <v>0</v>
      </c>
      <c r="BB119" s="262">
        <f t="shared" si="631"/>
        <v>0</v>
      </c>
      <c r="BC119" s="298">
        <f t="shared" ref="BC119:BD119" si="671">BC8*BC28</f>
        <v>0</v>
      </c>
      <c r="BD119" s="299">
        <f t="shared" si="671"/>
        <v>0</v>
      </c>
      <c r="BE119" s="262">
        <f t="shared" si="633"/>
        <v>0</v>
      </c>
      <c r="BF119" s="298">
        <f t="shared" ref="BF119:BG119" si="672">BF8*BF28</f>
        <v>0</v>
      </c>
      <c r="BG119" s="299">
        <f t="shared" si="672"/>
        <v>0</v>
      </c>
      <c r="BH119" s="262">
        <f t="shared" si="635"/>
        <v>0</v>
      </c>
      <c r="BI119" s="298">
        <f t="shared" si="598"/>
        <v>0</v>
      </c>
      <c r="BJ119" s="299">
        <f t="shared" si="598"/>
        <v>0</v>
      </c>
      <c r="BK119" s="262">
        <f t="shared" si="636"/>
        <v>0</v>
      </c>
      <c r="BL119" s="298">
        <f t="shared" si="599"/>
        <v>0</v>
      </c>
      <c r="BM119" s="299">
        <f t="shared" si="599"/>
        <v>0</v>
      </c>
      <c r="BN119" s="262">
        <f t="shared" si="637"/>
        <v>0</v>
      </c>
      <c r="BO119" s="298">
        <f t="shared" si="600"/>
        <v>0</v>
      </c>
      <c r="BP119" s="299">
        <f t="shared" si="600"/>
        <v>0</v>
      </c>
      <c r="BQ119" s="262">
        <f t="shared" si="638"/>
        <v>0</v>
      </c>
    </row>
    <row r="120" spans="1:70">
      <c r="A120" s="676"/>
      <c r="B120" s="678"/>
      <c r="C120" s="290" t="s">
        <v>29</v>
      </c>
      <c r="D120" s="291">
        <f t="shared" si="578"/>
        <v>0</v>
      </c>
      <c r="E120" s="292">
        <f t="shared" si="162"/>
        <v>0</v>
      </c>
      <c r="F120" s="293">
        <f t="shared" si="579"/>
        <v>0</v>
      </c>
      <c r="G120" s="298">
        <f t="shared" si="580"/>
        <v>0</v>
      </c>
      <c r="H120" s="299">
        <f t="shared" si="580"/>
        <v>0</v>
      </c>
      <c r="I120" s="262">
        <f t="shared" si="601"/>
        <v>0</v>
      </c>
      <c r="J120" s="298">
        <f t="shared" ref="J120:K120" si="673">J9*J29</f>
        <v>0</v>
      </c>
      <c r="K120" s="299">
        <f t="shared" si="673"/>
        <v>0</v>
      </c>
      <c r="L120" s="262">
        <f t="shared" si="603"/>
        <v>0</v>
      </c>
      <c r="M120" s="298">
        <f t="shared" ref="M120:N120" si="674">M9*M29</f>
        <v>0</v>
      </c>
      <c r="N120" s="299">
        <f t="shared" si="674"/>
        <v>0</v>
      </c>
      <c r="O120" s="262">
        <f t="shared" si="605"/>
        <v>0</v>
      </c>
      <c r="P120" s="298">
        <f t="shared" ref="P120:Q120" si="675">P9*P29</f>
        <v>0</v>
      </c>
      <c r="Q120" s="299">
        <f t="shared" si="675"/>
        <v>0</v>
      </c>
      <c r="R120" s="262">
        <f t="shared" si="607"/>
        <v>0</v>
      </c>
      <c r="S120" s="298">
        <f t="shared" ref="S120:T120" si="676">S9*S29</f>
        <v>0</v>
      </c>
      <c r="T120" s="299">
        <f t="shared" si="676"/>
        <v>0</v>
      </c>
      <c r="U120" s="262">
        <f t="shared" si="609"/>
        <v>0</v>
      </c>
      <c r="V120" s="298">
        <f t="shared" ref="V120:W120" si="677">V9*V29</f>
        <v>0</v>
      </c>
      <c r="W120" s="299">
        <f t="shared" si="677"/>
        <v>0</v>
      </c>
      <c r="X120" s="262">
        <f t="shared" si="611"/>
        <v>0</v>
      </c>
      <c r="Y120" s="298">
        <f t="shared" ref="Y120:Z120" si="678">Y9*Y29</f>
        <v>0</v>
      </c>
      <c r="Z120" s="299">
        <f t="shared" si="678"/>
        <v>0</v>
      </c>
      <c r="AA120" s="262">
        <f t="shared" si="613"/>
        <v>0</v>
      </c>
      <c r="AB120" s="298">
        <f t="shared" ref="AB120:AC120" si="679">AB9*AB29</f>
        <v>0</v>
      </c>
      <c r="AC120" s="299">
        <f t="shared" si="679"/>
        <v>0</v>
      </c>
      <c r="AD120" s="262">
        <f t="shared" si="615"/>
        <v>0</v>
      </c>
      <c r="AE120" s="298">
        <f t="shared" ref="AE120:AF120" si="680">AE9*AE29</f>
        <v>0</v>
      </c>
      <c r="AF120" s="299">
        <f t="shared" si="680"/>
        <v>0</v>
      </c>
      <c r="AG120" s="262">
        <f t="shared" si="617"/>
        <v>0</v>
      </c>
      <c r="AH120" s="298">
        <f t="shared" ref="AH120:AI120" si="681">AH9*AH29</f>
        <v>0</v>
      </c>
      <c r="AI120" s="299">
        <f t="shared" si="681"/>
        <v>0</v>
      </c>
      <c r="AJ120" s="262">
        <f t="shared" si="619"/>
        <v>0</v>
      </c>
      <c r="AK120" s="298">
        <f t="shared" ref="AK120:AL120" si="682">AK9*AK29</f>
        <v>0</v>
      </c>
      <c r="AL120" s="299">
        <f t="shared" si="682"/>
        <v>0</v>
      </c>
      <c r="AM120" s="262">
        <f t="shared" si="621"/>
        <v>0</v>
      </c>
      <c r="AN120" s="298">
        <f t="shared" ref="AN120:AO120" si="683">AN9*AN29</f>
        <v>0</v>
      </c>
      <c r="AO120" s="299">
        <f t="shared" si="683"/>
        <v>0</v>
      </c>
      <c r="AP120" s="262">
        <f t="shared" si="623"/>
        <v>0</v>
      </c>
      <c r="AQ120" s="298">
        <f t="shared" ref="AQ120:AR120" si="684">AQ9*AQ29</f>
        <v>0</v>
      </c>
      <c r="AR120" s="299">
        <f t="shared" si="684"/>
        <v>0</v>
      </c>
      <c r="AS120" s="262">
        <f t="shared" si="625"/>
        <v>0</v>
      </c>
      <c r="AT120" s="298">
        <f t="shared" ref="AT120:AU120" si="685">AT9*AT29</f>
        <v>0</v>
      </c>
      <c r="AU120" s="299">
        <f t="shared" si="685"/>
        <v>0</v>
      </c>
      <c r="AV120" s="262">
        <f t="shared" si="627"/>
        <v>0</v>
      </c>
      <c r="AW120" s="298">
        <f t="shared" ref="AW120:AX120" si="686">AW9*AW29</f>
        <v>0</v>
      </c>
      <c r="AX120" s="299">
        <f t="shared" si="686"/>
        <v>0</v>
      </c>
      <c r="AY120" s="262">
        <f t="shared" si="629"/>
        <v>0</v>
      </c>
      <c r="AZ120" s="298">
        <f t="shared" ref="AZ120:BA120" si="687">AZ9*AZ29</f>
        <v>0</v>
      </c>
      <c r="BA120" s="299">
        <f t="shared" si="687"/>
        <v>0</v>
      </c>
      <c r="BB120" s="262">
        <f t="shared" si="631"/>
        <v>0</v>
      </c>
      <c r="BC120" s="298">
        <f t="shared" ref="BC120:BD120" si="688">BC9*BC29</f>
        <v>0</v>
      </c>
      <c r="BD120" s="299">
        <f t="shared" si="688"/>
        <v>0</v>
      </c>
      <c r="BE120" s="262">
        <f t="shared" si="633"/>
        <v>0</v>
      </c>
      <c r="BF120" s="298">
        <f t="shared" ref="BF120:BG120" si="689">BF9*BF29</f>
        <v>0</v>
      </c>
      <c r="BG120" s="299">
        <f t="shared" si="689"/>
        <v>0</v>
      </c>
      <c r="BH120" s="262">
        <f t="shared" si="635"/>
        <v>0</v>
      </c>
      <c r="BI120" s="298">
        <f t="shared" si="598"/>
        <v>0</v>
      </c>
      <c r="BJ120" s="299">
        <f t="shared" si="598"/>
        <v>0</v>
      </c>
      <c r="BK120" s="262">
        <f t="shared" si="636"/>
        <v>0</v>
      </c>
      <c r="BL120" s="298">
        <f t="shared" si="599"/>
        <v>0</v>
      </c>
      <c r="BM120" s="299">
        <f t="shared" si="599"/>
        <v>0</v>
      </c>
      <c r="BN120" s="262">
        <f t="shared" si="637"/>
        <v>0</v>
      </c>
      <c r="BO120" s="298">
        <f t="shared" si="600"/>
        <v>0</v>
      </c>
      <c r="BP120" s="299">
        <f t="shared" si="600"/>
        <v>0</v>
      </c>
      <c r="BQ120" s="262">
        <f t="shared" si="638"/>
        <v>0</v>
      </c>
    </row>
    <row r="121" spans="1:70">
      <c r="A121" s="676"/>
      <c r="B121" s="678"/>
      <c r="C121" s="290" t="s">
        <v>30</v>
      </c>
      <c r="D121" s="291">
        <f t="shared" si="578"/>
        <v>0</v>
      </c>
      <c r="E121" s="292">
        <f t="shared" si="162"/>
        <v>0</v>
      </c>
      <c r="F121" s="293">
        <f t="shared" si="579"/>
        <v>0</v>
      </c>
      <c r="G121" s="298">
        <f t="shared" si="580"/>
        <v>0</v>
      </c>
      <c r="H121" s="299">
        <f t="shared" si="580"/>
        <v>0</v>
      </c>
      <c r="I121" s="262">
        <f t="shared" si="601"/>
        <v>0</v>
      </c>
      <c r="J121" s="298">
        <f t="shared" ref="J121:K121" si="690">J10*J30</f>
        <v>0</v>
      </c>
      <c r="K121" s="299">
        <f t="shared" si="690"/>
        <v>0</v>
      </c>
      <c r="L121" s="262">
        <f t="shared" si="603"/>
        <v>0</v>
      </c>
      <c r="M121" s="298">
        <f t="shared" ref="M121:N121" si="691">M10*M30</f>
        <v>0</v>
      </c>
      <c r="N121" s="299">
        <f t="shared" si="691"/>
        <v>0</v>
      </c>
      <c r="O121" s="262">
        <f t="shared" si="605"/>
        <v>0</v>
      </c>
      <c r="P121" s="298">
        <f t="shared" ref="P121:Q121" si="692">P10*P30</f>
        <v>0</v>
      </c>
      <c r="Q121" s="299">
        <f t="shared" si="692"/>
        <v>0</v>
      </c>
      <c r="R121" s="262">
        <f t="shared" si="607"/>
        <v>0</v>
      </c>
      <c r="S121" s="298">
        <f t="shared" ref="S121:T121" si="693">S10*S30</f>
        <v>0</v>
      </c>
      <c r="T121" s="299">
        <f t="shared" si="693"/>
        <v>0</v>
      </c>
      <c r="U121" s="262">
        <f t="shared" si="609"/>
        <v>0</v>
      </c>
      <c r="V121" s="298">
        <f t="shared" ref="V121:W121" si="694">V10*V30</f>
        <v>0</v>
      </c>
      <c r="W121" s="299">
        <f t="shared" si="694"/>
        <v>0</v>
      </c>
      <c r="X121" s="262">
        <f t="shared" si="611"/>
        <v>0</v>
      </c>
      <c r="Y121" s="298">
        <f t="shared" ref="Y121:Z121" si="695">Y10*Y30</f>
        <v>0</v>
      </c>
      <c r="Z121" s="299">
        <f t="shared" si="695"/>
        <v>0</v>
      </c>
      <c r="AA121" s="262">
        <f t="shared" si="613"/>
        <v>0</v>
      </c>
      <c r="AB121" s="298">
        <f t="shared" ref="AB121:AC121" si="696">AB10*AB30</f>
        <v>0</v>
      </c>
      <c r="AC121" s="299">
        <f t="shared" si="696"/>
        <v>0</v>
      </c>
      <c r="AD121" s="262">
        <f t="shared" si="615"/>
        <v>0</v>
      </c>
      <c r="AE121" s="298">
        <f t="shared" ref="AE121:AF121" si="697">AE10*AE30</f>
        <v>0</v>
      </c>
      <c r="AF121" s="299">
        <f t="shared" si="697"/>
        <v>0</v>
      </c>
      <c r="AG121" s="262">
        <f t="shared" si="617"/>
        <v>0</v>
      </c>
      <c r="AH121" s="298">
        <f t="shared" ref="AH121:AI121" si="698">AH10*AH30</f>
        <v>0</v>
      </c>
      <c r="AI121" s="299">
        <f t="shared" si="698"/>
        <v>0</v>
      </c>
      <c r="AJ121" s="262">
        <f t="shared" si="619"/>
        <v>0</v>
      </c>
      <c r="AK121" s="298">
        <f t="shared" ref="AK121:AL121" si="699">AK10*AK30</f>
        <v>0</v>
      </c>
      <c r="AL121" s="299">
        <f t="shared" si="699"/>
        <v>0</v>
      </c>
      <c r="AM121" s="262">
        <f t="shared" si="621"/>
        <v>0</v>
      </c>
      <c r="AN121" s="298">
        <f t="shared" ref="AN121:AO121" si="700">AN10*AN30</f>
        <v>0</v>
      </c>
      <c r="AO121" s="299">
        <f t="shared" si="700"/>
        <v>0</v>
      </c>
      <c r="AP121" s="262">
        <f t="shared" si="623"/>
        <v>0</v>
      </c>
      <c r="AQ121" s="298">
        <f t="shared" ref="AQ121:AR121" si="701">AQ10*AQ30</f>
        <v>0</v>
      </c>
      <c r="AR121" s="299">
        <f t="shared" si="701"/>
        <v>0</v>
      </c>
      <c r="AS121" s="262">
        <f t="shared" si="625"/>
        <v>0</v>
      </c>
      <c r="AT121" s="298">
        <f t="shared" ref="AT121:AU121" si="702">AT10*AT30</f>
        <v>0</v>
      </c>
      <c r="AU121" s="299">
        <f t="shared" si="702"/>
        <v>0</v>
      </c>
      <c r="AV121" s="262">
        <f t="shared" si="627"/>
        <v>0</v>
      </c>
      <c r="AW121" s="298">
        <f t="shared" ref="AW121:AX121" si="703">AW10*AW30</f>
        <v>0</v>
      </c>
      <c r="AX121" s="299">
        <f t="shared" si="703"/>
        <v>0</v>
      </c>
      <c r="AY121" s="262">
        <f t="shared" si="629"/>
        <v>0</v>
      </c>
      <c r="AZ121" s="298">
        <f t="shared" ref="AZ121:BA121" si="704">AZ10*AZ30</f>
        <v>0</v>
      </c>
      <c r="BA121" s="299">
        <f t="shared" si="704"/>
        <v>0</v>
      </c>
      <c r="BB121" s="262">
        <f t="shared" si="631"/>
        <v>0</v>
      </c>
      <c r="BC121" s="298">
        <f t="shared" ref="BC121:BD121" si="705">BC10*BC30</f>
        <v>0</v>
      </c>
      <c r="BD121" s="299">
        <f t="shared" si="705"/>
        <v>0</v>
      </c>
      <c r="BE121" s="262">
        <f t="shared" si="633"/>
        <v>0</v>
      </c>
      <c r="BF121" s="298">
        <f t="shared" ref="BF121:BG121" si="706">BF10*BF30</f>
        <v>0</v>
      </c>
      <c r="BG121" s="299">
        <f t="shared" si="706"/>
        <v>0</v>
      </c>
      <c r="BH121" s="262">
        <f t="shared" si="635"/>
        <v>0</v>
      </c>
      <c r="BI121" s="298">
        <f t="shared" si="598"/>
        <v>0</v>
      </c>
      <c r="BJ121" s="299">
        <f t="shared" si="598"/>
        <v>0</v>
      </c>
      <c r="BK121" s="262">
        <f t="shared" si="636"/>
        <v>0</v>
      </c>
      <c r="BL121" s="298">
        <f t="shared" si="599"/>
        <v>0</v>
      </c>
      <c r="BM121" s="299">
        <f t="shared" si="599"/>
        <v>0</v>
      </c>
      <c r="BN121" s="262">
        <f t="shared" si="637"/>
        <v>0</v>
      </c>
      <c r="BO121" s="298">
        <f t="shared" si="600"/>
        <v>0</v>
      </c>
      <c r="BP121" s="299">
        <f t="shared" si="600"/>
        <v>0</v>
      </c>
      <c r="BQ121" s="262">
        <f t="shared" si="638"/>
        <v>0</v>
      </c>
    </row>
    <row r="122" spans="1:70">
      <c r="A122" s="676"/>
      <c r="B122" s="678"/>
      <c r="C122" s="290" t="s">
        <v>31</v>
      </c>
      <c r="D122" s="291">
        <f t="shared" si="578"/>
        <v>0</v>
      </c>
      <c r="E122" s="292">
        <f t="shared" si="162"/>
        <v>0</v>
      </c>
      <c r="F122" s="293">
        <f t="shared" si="579"/>
        <v>0</v>
      </c>
      <c r="G122" s="298">
        <f t="shared" si="580"/>
        <v>0</v>
      </c>
      <c r="H122" s="299">
        <f t="shared" si="580"/>
        <v>0</v>
      </c>
      <c r="I122" s="262">
        <f t="shared" si="601"/>
        <v>0</v>
      </c>
      <c r="J122" s="298">
        <f t="shared" ref="J122:K122" si="707">J11*J31</f>
        <v>0</v>
      </c>
      <c r="K122" s="299">
        <f t="shared" si="707"/>
        <v>0</v>
      </c>
      <c r="L122" s="262">
        <f t="shared" si="603"/>
        <v>0</v>
      </c>
      <c r="M122" s="298">
        <f t="shared" ref="M122:N122" si="708">M11*M31</f>
        <v>0</v>
      </c>
      <c r="N122" s="299">
        <f t="shared" si="708"/>
        <v>0</v>
      </c>
      <c r="O122" s="262">
        <f t="shared" si="605"/>
        <v>0</v>
      </c>
      <c r="P122" s="298">
        <f t="shared" ref="P122:Q122" si="709">P11*P31</f>
        <v>0</v>
      </c>
      <c r="Q122" s="299">
        <f t="shared" si="709"/>
        <v>0</v>
      </c>
      <c r="R122" s="262">
        <f t="shared" si="607"/>
        <v>0</v>
      </c>
      <c r="S122" s="298">
        <f t="shared" ref="S122:T122" si="710">S11*S31</f>
        <v>0</v>
      </c>
      <c r="T122" s="299">
        <f t="shared" si="710"/>
        <v>0</v>
      </c>
      <c r="U122" s="262">
        <f t="shared" si="609"/>
        <v>0</v>
      </c>
      <c r="V122" s="298">
        <f t="shared" ref="V122:W122" si="711">V11*V31</f>
        <v>0</v>
      </c>
      <c r="W122" s="299">
        <f t="shared" si="711"/>
        <v>0</v>
      </c>
      <c r="X122" s="262">
        <f t="shared" si="611"/>
        <v>0</v>
      </c>
      <c r="Y122" s="298">
        <f t="shared" ref="Y122:Z122" si="712">Y11*Y31</f>
        <v>0</v>
      </c>
      <c r="Z122" s="299">
        <f t="shared" si="712"/>
        <v>0</v>
      </c>
      <c r="AA122" s="262">
        <f t="shared" si="613"/>
        <v>0</v>
      </c>
      <c r="AB122" s="298">
        <f t="shared" ref="AB122:AC122" si="713">AB11*AB31</f>
        <v>0</v>
      </c>
      <c r="AC122" s="299">
        <f t="shared" si="713"/>
        <v>0</v>
      </c>
      <c r="AD122" s="262">
        <f t="shared" si="615"/>
        <v>0</v>
      </c>
      <c r="AE122" s="298">
        <f t="shared" ref="AE122:AF122" si="714">AE11*AE31</f>
        <v>0</v>
      </c>
      <c r="AF122" s="299">
        <f t="shared" si="714"/>
        <v>0</v>
      </c>
      <c r="AG122" s="262">
        <f t="shared" si="617"/>
        <v>0</v>
      </c>
      <c r="AH122" s="298">
        <f t="shared" ref="AH122:AI122" si="715">AH11*AH31</f>
        <v>0</v>
      </c>
      <c r="AI122" s="299">
        <f t="shared" si="715"/>
        <v>0</v>
      </c>
      <c r="AJ122" s="262">
        <f t="shared" si="619"/>
        <v>0</v>
      </c>
      <c r="AK122" s="298">
        <f t="shared" ref="AK122:AL122" si="716">AK11*AK31</f>
        <v>0</v>
      </c>
      <c r="AL122" s="299">
        <f t="shared" si="716"/>
        <v>0</v>
      </c>
      <c r="AM122" s="262">
        <f t="shared" si="621"/>
        <v>0</v>
      </c>
      <c r="AN122" s="298">
        <f t="shared" ref="AN122:AO122" si="717">AN11*AN31</f>
        <v>0</v>
      </c>
      <c r="AO122" s="299">
        <f t="shared" si="717"/>
        <v>0</v>
      </c>
      <c r="AP122" s="262">
        <f t="shared" si="623"/>
        <v>0</v>
      </c>
      <c r="AQ122" s="298">
        <f t="shared" ref="AQ122:AR122" si="718">AQ11*AQ31</f>
        <v>0</v>
      </c>
      <c r="AR122" s="299">
        <f t="shared" si="718"/>
        <v>0</v>
      </c>
      <c r="AS122" s="262">
        <f t="shared" si="625"/>
        <v>0</v>
      </c>
      <c r="AT122" s="298">
        <f t="shared" ref="AT122:AU122" si="719">AT11*AT31</f>
        <v>0</v>
      </c>
      <c r="AU122" s="299">
        <f t="shared" si="719"/>
        <v>0</v>
      </c>
      <c r="AV122" s="262">
        <f t="shared" si="627"/>
        <v>0</v>
      </c>
      <c r="AW122" s="298">
        <f t="shared" ref="AW122:AX122" si="720">AW11*AW31</f>
        <v>0</v>
      </c>
      <c r="AX122" s="299">
        <f t="shared" si="720"/>
        <v>0</v>
      </c>
      <c r="AY122" s="262">
        <f t="shared" si="629"/>
        <v>0</v>
      </c>
      <c r="AZ122" s="298">
        <f t="shared" ref="AZ122:BA122" si="721">AZ11*AZ31</f>
        <v>0</v>
      </c>
      <c r="BA122" s="299">
        <f t="shared" si="721"/>
        <v>0</v>
      </c>
      <c r="BB122" s="262">
        <f t="shared" si="631"/>
        <v>0</v>
      </c>
      <c r="BC122" s="298">
        <f t="shared" ref="BC122:BD122" si="722">BC11*BC31</f>
        <v>0</v>
      </c>
      <c r="BD122" s="299">
        <f t="shared" si="722"/>
        <v>0</v>
      </c>
      <c r="BE122" s="262">
        <f t="shared" si="633"/>
        <v>0</v>
      </c>
      <c r="BF122" s="298">
        <f t="shared" ref="BF122:BG122" si="723">BF11*BF31</f>
        <v>0</v>
      </c>
      <c r="BG122" s="299">
        <f t="shared" si="723"/>
        <v>0</v>
      </c>
      <c r="BH122" s="262">
        <f t="shared" si="635"/>
        <v>0</v>
      </c>
      <c r="BI122" s="298">
        <f t="shared" si="598"/>
        <v>0</v>
      </c>
      <c r="BJ122" s="299">
        <f t="shared" si="598"/>
        <v>0</v>
      </c>
      <c r="BK122" s="262">
        <f t="shared" si="636"/>
        <v>0</v>
      </c>
      <c r="BL122" s="298">
        <f t="shared" si="599"/>
        <v>0</v>
      </c>
      <c r="BM122" s="299">
        <f t="shared" si="599"/>
        <v>0</v>
      </c>
      <c r="BN122" s="262">
        <f t="shared" si="637"/>
        <v>0</v>
      </c>
      <c r="BO122" s="298">
        <f t="shared" si="600"/>
        <v>0</v>
      </c>
      <c r="BP122" s="299">
        <f t="shared" si="600"/>
        <v>0</v>
      </c>
      <c r="BQ122" s="262">
        <f t="shared" si="638"/>
        <v>0</v>
      </c>
    </row>
    <row r="123" spans="1:70">
      <c r="A123" s="676"/>
      <c r="B123" s="678"/>
      <c r="C123" s="290" t="s">
        <v>32</v>
      </c>
      <c r="D123" s="291">
        <f t="shared" si="578"/>
        <v>0</v>
      </c>
      <c r="E123" s="292">
        <f t="shared" si="162"/>
        <v>0</v>
      </c>
      <c r="F123" s="293">
        <f t="shared" si="579"/>
        <v>0</v>
      </c>
      <c r="G123" s="298">
        <f t="shared" si="580"/>
        <v>0</v>
      </c>
      <c r="H123" s="299">
        <f t="shared" si="580"/>
        <v>0</v>
      </c>
      <c r="I123" s="262">
        <f t="shared" si="601"/>
        <v>0</v>
      </c>
      <c r="J123" s="298">
        <f t="shared" ref="J123:K123" si="724">J12*J32</f>
        <v>0</v>
      </c>
      <c r="K123" s="299">
        <f t="shared" si="724"/>
        <v>0</v>
      </c>
      <c r="L123" s="262">
        <f t="shared" si="603"/>
        <v>0</v>
      </c>
      <c r="M123" s="298">
        <f t="shared" ref="M123:N123" si="725">M12*M32</f>
        <v>0</v>
      </c>
      <c r="N123" s="299">
        <f t="shared" si="725"/>
        <v>0</v>
      </c>
      <c r="O123" s="262">
        <f t="shared" si="605"/>
        <v>0</v>
      </c>
      <c r="P123" s="298">
        <f t="shared" ref="P123:Q123" si="726">P12*P32</f>
        <v>0</v>
      </c>
      <c r="Q123" s="299">
        <f t="shared" si="726"/>
        <v>0</v>
      </c>
      <c r="R123" s="262">
        <f t="shared" si="607"/>
        <v>0</v>
      </c>
      <c r="S123" s="298">
        <f t="shared" ref="S123:T123" si="727">S12*S32</f>
        <v>0</v>
      </c>
      <c r="T123" s="299">
        <f t="shared" si="727"/>
        <v>0</v>
      </c>
      <c r="U123" s="262">
        <f t="shared" si="609"/>
        <v>0</v>
      </c>
      <c r="V123" s="298">
        <f t="shared" ref="V123:W123" si="728">V12*V32</f>
        <v>0</v>
      </c>
      <c r="W123" s="299">
        <f t="shared" si="728"/>
        <v>0</v>
      </c>
      <c r="X123" s="262">
        <f t="shared" si="611"/>
        <v>0</v>
      </c>
      <c r="Y123" s="298">
        <f t="shared" ref="Y123:Z123" si="729">Y12*Y32</f>
        <v>0</v>
      </c>
      <c r="Z123" s="299">
        <f t="shared" si="729"/>
        <v>0</v>
      </c>
      <c r="AA123" s="262">
        <f t="shared" si="613"/>
        <v>0</v>
      </c>
      <c r="AB123" s="298">
        <f t="shared" ref="AB123:AC123" si="730">AB12*AB32</f>
        <v>0</v>
      </c>
      <c r="AC123" s="299">
        <f t="shared" si="730"/>
        <v>0</v>
      </c>
      <c r="AD123" s="262">
        <f t="shared" si="615"/>
        <v>0</v>
      </c>
      <c r="AE123" s="298">
        <f t="shared" ref="AE123:AF123" si="731">AE12*AE32</f>
        <v>0</v>
      </c>
      <c r="AF123" s="299">
        <f t="shared" si="731"/>
        <v>0</v>
      </c>
      <c r="AG123" s="262">
        <f t="shared" si="617"/>
        <v>0</v>
      </c>
      <c r="AH123" s="298">
        <f t="shared" ref="AH123:AI123" si="732">AH12*AH32</f>
        <v>0</v>
      </c>
      <c r="AI123" s="299">
        <f t="shared" si="732"/>
        <v>0</v>
      </c>
      <c r="AJ123" s="262">
        <f t="shared" si="619"/>
        <v>0</v>
      </c>
      <c r="AK123" s="298">
        <f t="shared" ref="AK123:AL123" si="733">AK12*AK32</f>
        <v>0</v>
      </c>
      <c r="AL123" s="299">
        <f t="shared" si="733"/>
        <v>0</v>
      </c>
      <c r="AM123" s="262">
        <f t="shared" si="621"/>
        <v>0</v>
      </c>
      <c r="AN123" s="298">
        <f t="shared" ref="AN123:AO123" si="734">AN12*AN32</f>
        <v>0</v>
      </c>
      <c r="AO123" s="299">
        <f t="shared" si="734"/>
        <v>0</v>
      </c>
      <c r="AP123" s="262">
        <f t="shared" si="623"/>
        <v>0</v>
      </c>
      <c r="AQ123" s="298">
        <f t="shared" ref="AQ123:AR123" si="735">AQ12*AQ32</f>
        <v>0</v>
      </c>
      <c r="AR123" s="299">
        <f t="shared" si="735"/>
        <v>0</v>
      </c>
      <c r="AS123" s="262">
        <f t="shared" si="625"/>
        <v>0</v>
      </c>
      <c r="AT123" s="298">
        <f t="shared" ref="AT123:AU123" si="736">AT12*AT32</f>
        <v>0</v>
      </c>
      <c r="AU123" s="299">
        <f t="shared" si="736"/>
        <v>0</v>
      </c>
      <c r="AV123" s="262">
        <f t="shared" si="627"/>
        <v>0</v>
      </c>
      <c r="AW123" s="298">
        <f t="shared" ref="AW123:AX123" si="737">AW12*AW32</f>
        <v>0</v>
      </c>
      <c r="AX123" s="299">
        <f t="shared" si="737"/>
        <v>0</v>
      </c>
      <c r="AY123" s="262">
        <f t="shared" si="629"/>
        <v>0</v>
      </c>
      <c r="AZ123" s="298">
        <f t="shared" ref="AZ123:BA123" si="738">AZ12*AZ32</f>
        <v>0</v>
      </c>
      <c r="BA123" s="299">
        <f t="shared" si="738"/>
        <v>0</v>
      </c>
      <c r="BB123" s="262">
        <f t="shared" si="631"/>
        <v>0</v>
      </c>
      <c r="BC123" s="298">
        <f t="shared" ref="BC123:BD123" si="739">BC12*BC32</f>
        <v>0</v>
      </c>
      <c r="BD123" s="299">
        <f t="shared" si="739"/>
        <v>0</v>
      </c>
      <c r="BE123" s="262">
        <f t="shared" si="633"/>
        <v>0</v>
      </c>
      <c r="BF123" s="298">
        <f t="shared" ref="BF123:BG123" si="740">BF12*BF32</f>
        <v>0</v>
      </c>
      <c r="BG123" s="299">
        <f t="shared" si="740"/>
        <v>0</v>
      </c>
      <c r="BH123" s="262">
        <f t="shared" si="635"/>
        <v>0</v>
      </c>
      <c r="BI123" s="298">
        <f t="shared" si="598"/>
        <v>0</v>
      </c>
      <c r="BJ123" s="299">
        <f t="shared" si="598"/>
        <v>0</v>
      </c>
      <c r="BK123" s="262">
        <f t="shared" si="636"/>
        <v>0</v>
      </c>
      <c r="BL123" s="298">
        <f t="shared" si="599"/>
        <v>0</v>
      </c>
      <c r="BM123" s="299">
        <f t="shared" si="599"/>
        <v>0</v>
      </c>
      <c r="BN123" s="262">
        <f t="shared" si="637"/>
        <v>0</v>
      </c>
      <c r="BO123" s="298">
        <f t="shared" si="600"/>
        <v>0</v>
      </c>
      <c r="BP123" s="299">
        <f t="shared" si="600"/>
        <v>0</v>
      </c>
      <c r="BQ123" s="262">
        <f t="shared" si="638"/>
        <v>0</v>
      </c>
    </row>
    <row r="124" spans="1:70">
      <c r="A124" s="676"/>
      <c r="B124" s="678"/>
      <c r="C124" s="290" t="s">
        <v>33</v>
      </c>
      <c r="D124" s="291">
        <f t="shared" si="578"/>
        <v>0</v>
      </c>
      <c r="E124" s="292">
        <f t="shared" si="162"/>
        <v>0</v>
      </c>
      <c r="F124" s="293">
        <f t="shared" si="579"/>
        <v>0</v>
      </c>
      <c r="G124" s="298">
        <f t="shared" si="580"/>
        <v>0</v>
      </c>
      <c r="H124" s="299">
        <f t="shared" si="580"/>
        <v>0</v>
      </c>
      <c r="I124" s="262">
        <f t="shared" si="601"/>
        <v>0</v>
      </c>
      <c r="J124" s="298">
        <f t="shared" ref="J124:K124" si="741">J13*J33</f>
        <v>0</v>
      </c>
      <c r="K124" s="299">
        <f t="shared" si="741"/>
        <v>0</v>
      </c>
      <c r="L124" s="262">
        <f t="shared" si="603"/>
        <v>0</v>
      </c>
      <c r="M124" s="298">
        <f t="shared" ref="M124:N124" si="742">M13*M33</f>
        <v>0</v>
      </c>
      <c r="N124" s="299">
        <f t="shared" si="742"/>
        <v>0</v>
      </c>
      <c r="O124" s="262">
        <f t="shared" si="605"/>
        <v>0</v>
      </c>
      <c r="P124" s="298">
        <f t="shared" ref="P124:Q124" si="743">P13*P33</f>
        <v>0</v>
      </c>
      <c r="Q124" s="299">
        <f t="shared" si="743"/>
        <v>0</v>
      </c>
      <c r="R124" s="262">
        <f t="shared" si="607"/>
        <v>0</v>
      </c>
      <c r="S124" s="298">
        <f t="shared" ref="S124:T124" si="744">S13*S33</f>
        <v>0</v>
      </c>
      <c r="T124" s="299">
        <f t="shared" si="744"/>
        <v>0</v>
      </c>
      <c r="U124" s="262">
        <f t="shared" si="609"/>
        <v>0</v>
      </c>
      <c r="V124" s="298">
        <f t="shared" ref="V124:W124" si="745">V13*V33</f>
        <v>0</v>
      </c>
      <c r="W124" s="299">
        <f t="shared" si="745"/>
        <v>0</v>
      </c>
      <c r="X124" s="262">
        <f t="shared" si="611"/>
        <v>0</v>
      </c>
      <c r="Y124" s="298">
        <f t="shared" ref="Y124:Z124" si="746">Y13*Y33</f>
        <v>0</v>
      </c>
      <c r="Z124" s="299">
        <f t="shared" si="746"/>
        <v>0</v>
      </c>
      <c r="AA124" s="262">
        <f t="shared" si="613"/>
        <v>0</v>
      </c>
      <c r="AB124" s="298">
        <f t="shared" ref="AB124:AC124" si="747">AB13*AB33</f>
        <v>0</v>
      </c>
      <c r="AC124" s="299">
        <f t="shared" si="747"/>
        <v>0</v>
      </c>
      <c r="AD124" s="262">
        <f t="shared" si="615"/>
        <v>0</v>
      </c>
      <c r="AE124" s="298">
        <f t="shared" ref="AE124:AF124" si="748">AE13*AE33</f>
        <v>0</v>
      </c>
      <c r="AF124" s="299">
        <f t="shared" si="748"/>
        <v>0</v>
      </c>
      <c r="AG124" s="262">
        <f t="shared" si="617"/>
        <v>0</v>
      </c>
      <c r="AH124" s="298">
        <f t="shared" ref="AH124:AI124" si="749">AH13*AH33</f>
        <v>0</v>
      </c>
      <c r="AI124" s="299">
        <f t="shared" si="749"/>
        <v>0</v>
      </c>
      <c r="AJ124" s="262">
        <f t="shared" si="619"/>
        <v>0</v>
      </c>
      <c r="AK124" s="298">
        <f t="shared" ref="AK124:AL124" si="750">AK13*AK33</f>
        <v>0</v>
      </c>
      <c r="AL124" s="299">
        <f t="shared" si="750"/>
        <v>0</v>
      </c>
      <c r="AM124" s="262">
        <f t="shared" si="621"/>
        <v>0</v>
      </c>
      <c r="AN124" s="298">
        <f t="shared" ref="AN124:AO124" si="751">AN13*AN33</f>
        <v>0</v>
      </c>
      <c r="AO124" s="299">
        <f t="shared" si="751"/>
        <v>0</v>
      </c>
      <c r="AP124" s="262">
        <f t="shared" si="623"/>
        <v>0</v>
      </c>
      <c r="AQ124" s="298">
        <f t="shared" ref="AQ124:AR124" si="752">AQ13*AQ33</f>
        <v>0</v>
      </c>
      <c r="AR124" s="299">
        <f t="shared" si="752"/>
        <v>0</v>
      </c>
      <c r="AS124" s="262">
        <f t="shared" si="625"/>
        <v>0</v>
      </c>
      <c r="AT124" s="298">
        <f t="shared" ref="AT124:AU124" si="753">AT13*AT33</f>
        <v>0</v>
      </c>
      <c r="AU124" s="299">
        <f t="shared" si="753"/>
        <v>0</v>
      </c>
      <c r="AV124" s="262">
        <f t="shared" si="627"/>
        <v>0</v>
      </c>
      <c r="AW124" s="298">
        <f t="shared" ref="AW124:AX124" si="754">AW13*AW33</f>
        <v>0</v>
      </c>
      <c r="AX124" s="299">
        <f t="shared" si="754"/>
        <v>0</v>
      </c>
      <c r="AY124" s="262">
        <f t="shared" si="629"/>
        <v>0</v>
      </c>
      <c r="AZ124" s="298">
        <f t="shared" ref="AZ124:BA124" si="755">AZ13*AZ33</f>
        <v>0</v>
      </c>
      <c r="BA124" s="299">
        <f t="shared" si="755"/>
        <v>0</v>
      </c>
      <c r="BB124" s="262">
        <f t="shared" si="631"/>
        <v>0</v>
      </c>
      <c r="BC124" s="298">
        <f t="shared" ref="BC124:BD124" si="756">BC13*BC33</f>
        <v>0</v>
      </c>
      <c r="BD124" s="299">
        <f t="shared" si="756"/>
        <v>0</v>
      </c>
      <c r="BE124" s="262">
        <f t="shared" si="633"/>
        <v>0</v>
      </c>
      <c r="BF124" s="298">
        <f t="shared" ref="BF124:BG124" si="757">BF13*BF33</f>
        <v>0</v>
      </c>
      <c r="BG124" s="299">
        <f t="shared" si="757"/>
        <v>0</v>
      </c>
      <c r="BH124" s="262">
        <f t="shared" si="635"/>
        <v>0</v>
      </c>
      <c r="BI124" s="298">
        <f t="shared" si="598"/>
        <v>0</v>
      </c>
      <c r="BJ124" s="299">
        <f t="shared" si="598"/>
        <v>0</v>
      </c>
      <c r="BK124" s="262">
        <f t="shared" si="636"/>
        <v>0</v>
      </c>
      <c r="BL124" s="298">
        <f t="shared" si="599"/>
        <v>0</v>
      </c>
      <c r="BM124" s="299">
        <f t="shared" si="599"/>
        <v>0</v>
      </c>
      <c r="BN124" s="262">
        <f t="shared" si="637"/>
        <v>0</v>
      </c>
      <c r="BO124" s="298">
        <f t="shared" si="600"/>
        <v>0</v>
      </c>
      <c r="BP124" s="299">
        <f t="shared" si="600"/>
        <v>0</v>
      </c>
      <c r="BQ124" s="262">
        <f t="shared" si="638"/>
        <v>0</v>
      </c>
    </row>
    <row r="125" spans="1:70" ht="15.75" thickBot="1">
      <c r="A125" s="677"/>
      <c r="B125" s="679"/>
      <c r="C125" s="300" t="s">
        <v>34</v>
      </c>
      <c r="D125" s="301">
        <f t="shared" si="578"/>
        <v>0</v>
      </c>
      <c r="E125" s="302">
        <f t="shared" si="162"/>
        <v>0</v>
      </c>
      <c r="F125" s="303">
        <f t="shared" si="579"/>
        <v>0</v>
      </c>
      <c r="G125" s="304">
        <f t="shared" si="580"/>
        <v>0</v>
      </c>
      <c r="H125" s="305">
        <f t="shared" si="580"/>
        <v>0</v>
      </c>
      <c r="I125" s="267">
        <f t="shared" si="601"/>
        <v>0</v>
      </c>
      <c r="J125" s="304">
        <f t="shared" ref="J125:K125" si="758">J14*J34</f>
        <v>0</v>
      </c>
      <c r="K125" s="305">
        <f t="shared" si="758"/>
        <v>0</v>
      </c>
      <c r="L125" s="267">
        <f t="shared" si="603"/>
        <v>0</v>
      </c>
      <c r="M125" s="304">
        <f t="shared" ref="M125:N125" si="759">M14*M34</f>
        <v>0</v>
      </c>
      <c r="N125" s="305">
        <f t="shared" si="759"/>
        <v>0</v>
      </c>
      <c r="O125" s="267">
        <f t="shared" si="605"/>
        <v>0</v>
      </c>
      <c r="P125" s="304">
        <f t="shared" ref="P125:Q125" si="760">P14*P34</f>
        <v>0</v>
      </c>
      <c r="Q125" s="305">
        <f t="shared" si="760"/>
        <v>0</v>
      </c>
      <c r="R125" s="267">
        <f t="shared" si="607"/>
        <v>0</v>
      </c>
      <c r="S125" s="304">
        <f t="shared" ref="S125:T125" si="761">S14*S34</f>
        <v>0</v>
      </c>
      <c r="T125" s="305">
        <f t="shared" si="761"/>
        <v>0</v>
      </c>
      <c r="U125" s="267">
        <f t="shared" si="609"/>
        <v>0</v>
      </c>
      <c r="V125" s="304">
        <f t="shared" ref="V125:W125" si="762">V14*V34</f>
        <v>0</v>
      </c>
      <c r="W125" s="305">
        <f t="shared" si="762"/>
        <v>0</v>
      </c>
      <c r="X125" s="267">
        <f t="shared" si="611"/>
        <v>0</v>
      </c>
      <c r="Y125" s="304">
        <f t="shared" ref="Y125:Z125" si="763">Y14*Y34</f>
        <v>0</v>
      </c>
      <c r="Z125" s="305">
        <f t="shared" si="763"/>
        <v>0</v>
      </c>
      <c r="AA125" s="267">
        <f t="shared" si="613"/>
        <v>0</v>
      </c>
      <c r="AB125" s="304">
        <f t="shared" ref="AB125:AC125" si="764">AB14*AB34</f>
        <v>0</v>
      </c>
      <c r="AC125" s="305">
        <f t="shared" si="764"/>
        <v>0</v>
      </c>
      <c r="AD125" s="267">
        <f t="shared" si="615"/>
        <v>0</v>
      </c>
      <c r="AE125" s="304">
        <f t="shared" ref="AE125:AF125" si="765">AE14*AE34</f>
        <v>0</v>
      </c>
      <c r="AF125" s="305">
        <f t="shared" si="765"/>
        <v>0</v>
      </c>
      <c r="AG125" s="267">
        <f t="shared" si="617"/>
        <v>0</v>
      </c>
      <c r="AH125" s="304">
        <f t="shared" ref="AH125:AI125" si="766">AH14*AH34</f>
        <v>0</v>
      </c>
      <c r="AI125" s="305">
        <f t="shared" si="766"/>
        <v>0</v>
      </c>
      <c r="AJ125" s="267">
        <f t="shared" si="619"/>
        <v>0</v>
      </c>
      <c r="AK125" s="304">
        <f t="shared" ref="AK125:AL125" si="767">AK14*AK34</f>
        <v>0</v>
      </c>
      <c r="AL125" s="305">
        <f t="shared" si="767"/>
        <v>0</v>
      </c>
      <c r="AM125" s="267">
        <f t="shared" si="621"/>
        <v>0</v>
      </c>
      <c r="AN125" s="304">
        <f t="shared" ref="AN125:AO125" si="768">AN14*AN34</f>
        <v>0</v>
      </c>
      <c r="AO125" s="305">
        <f t="shared" si="768"/>
        <v>0</v>
      </c>
      <c r="AP125" s="267">
        <f t="shared" si="623"/>
        <v>0</v>
      </c>
      <c r="AQ125" s="304">
        <f t="shared" ref="AQ125:AR125" si="769">AQ14*AQ34</f>
        <v>0</v>
      </c>
      <c r="AR125" s="305">
        <f t="shared" si="769"/>
        <v>0</v>
      </c>
      <c r="AS125" s="267">
        <f t="shared" si="625"/>
        <v>0</v>
      </c>
      <c r="AT125" s="304">
        <f t="shared" ref="AT125:AU125" si="770">AT14*AT34</f>
        <v>0</v>
      </c>
      <c r="AU125" s="305">
        <f t="shared" si="770"/>
        <v>0</v>
      </c>
      <c r="AV125" s="267">
        <f t="shared" si="627"/>
        <v>0</v>
      </c>
      <c r="AW125" s="304">
        <f t="shared" ref="AW125:AX125" si="771">AW14*AW34</f>
        <v>0</v>
      </c>
      <c r="AX125" s="305">
        <f t="shared" si="771"/>
        <v>0</v>
      </c>
      <c r="AY125" s="267">
        <f t="shared" si="629"/>
        <v>0</v>
      </c>
      <c r="AZ125" s="304">
        <f t="shared" ref="AZ125:BA125" si="772">AZ14*AZ34</f>
        <v>0</v>
      </c>
      <c r="BA125" s="305">
        <f t="shared" si="772"/>
        <v>0</v>
      </c>
      <c r="BB125" s="267">
        <f t="shared" si="631"/>
        <v>0</v>
      </c>
      <c r="BC125" s="304">
        <f t="shared" ref="BC125:BD125" si="773">BC14*BC34</f>
        <v>0</v>
      </c>
      <c r="BD125" s="305">
        <f t="shared" si="773"/>
        <v>0</v>
      </c>
      <c r="BE125" s="267">
        <f t="shared" si="633"/>
        <v>0</v>
      </c>
      <c r="BF125" s="304">
        <f t="shared" ref="BF125:BG125" si="774">BF14*BF34</f>
        <v>0</v>
      </c>
      <c r="BG125" s="305">
        <f t="shared" si="774"/>
        <v>0</v>
      </c>
      <c r="BH125" s="267">
        <f t="shared" si="635"/>
        <v>0</v>
      </c>
      <c r="BI125" s="304">
        <f t="shared" si="598"/>
        <v>0</v>
      </c>
      <c r="BJ125" s="305">
        <f t="shared" si="598"/>
        <v>0</v>
      </c>
      <c r="BK125" s="267">
        <f t="shared" si="636"/>
        <v>0</v>
      </c>
      <c r="BL125" s="304">
        <f t="shared" si="599"/>
        <v>0</v>
      </c>
      <c r="BM125" s="305">
        <f t="shared" si="599"/>
        <v>0</v>
      </c>
      <c r="BN125" s="267">
        <f t="shared" si="637"/>
        <v>0</v>
      </c>
      <c r="BO125" s="304">
        <f t="shared" si="600"/>
        <v>0</v>
      </c>
      <c r="BP125" s="305">
        <f t="shared" si="600"/>
        <v>0</v>
      </c>
      <c r="BQ125" s="267">
        <f t="shared" si="638"/>
        <v>0</v>
      </c>
    </row>
    <row r="126" spans="1:70">
      <c r="A126" s="676" t="s">
        <v>39</v>
      </c>
      <c r="B126" s="678" t="s">
        <v>13</v>
      </c>
      <c r="C126" s="290" t="s">
        <v>25</v>
      </c>
      <c r="D126" s="291">
        <f t="shared" si="578"/>
        <v>0</v>
      </c>
      <c r="E126" s="292">
        <f t="shared" si="162"/>
        <v>0</v>
      </c>
      <c r="F126" s="293">
        <f t="shared" si="579"/>
        <v>0</v>
      </c>
      <c r="G126" s="306">
        <f>G55</f>
        <v>0</v>
      </c>
      <c r="H126" s="307">
        <f t="shared" ref="H126:H135" si="775">H55*(1+$BR$126)</f>
        <v>0</v>
      </c>
      <c r="I126" s="257">
        <f>H126-G126</f>
        <v>0</v>
      </c>
      <c r="J126" s="306">
        <f>J55</f>
        <v>0</v>
      </c>
      <c r="K126" s="307">
        <f>K55*(1+$BR$126)</f>
        <v>0</v>
      </c>
      <c r="L126" s="257">
        <f>K126-J126</f>
        <v>0</v>
      </c>
      <c r="M126" s="306">
        <f>M55</f>
        <v>0</v>
      </c>
      <c r="N126" s="307">
        <f>N55*(1+$BR$126)</f>
        <v>0</v>
      </c>
      <c r="O126" s="257">
        <f>N126-M126</f>
        <v>0</v>
      </c>
      <c r="P126" s="306">
        <f t="shared" ref="P126:P135" si="776">P55</f>
        <v>0</v>
      </c>
      <c r="Q126" s="307">
        <f t="shared" ref="Q126:Q135" si="777">Q55*(1+$BR$126)</f>
        <v>0</v>
      </c>
      <c r="R126" s="257">
        <f>Q126-P126</f>
        <v>0</v>
      </c>
      <c r="S126" s="306">
        <f t="shared" ref="S126:S135" si="778">S55</f>
        <v>0</v>
      </c>
      <c r="T126" s="307">
        <f t="shared" ref="T126:T135" si="779">T55*(1+$BR$126)</f>
        <v>0</v>
      </c>
      <c r="U126" s="257">
        <f>T126-S126</f>
        <v>0</v>
      </c>
      <c r="V126" s="306">
        <f t="shared" ref="V126:V135" si="780">V55</f>
        <v>0</v>
      </c>
      <c r="W126" s="307">
        <f t="shared" ref="W126:W135" si="781">W55*(1+$BR$126)</f>
        <v>0</v>
      </c>
      <c r="X126" s="257">
        <f>W126-V126</f>
        <v>0</v>
      </c>
      <c r="Y126" s="306">
        <f>Y55</f>
        <v>0</v>
      </c>
      <c r="Z126" s="307">
        <f>Z55*(1+$BR$126)</f>
        <v>0</v>
      </c>
      <c r="AA126" s="257">
        <f>Z126-Y126</f>
        <v>0</v>
      </c>
      <c r="AB126" s="306">
        <f>AB55</f>
        <v>0</v>
      </c>
      <c r="AC126" s="307">
        <f>AC55*(1+$BR$126)</f>
        <v>0</v>
      </c>
      <c r="AD126" s="257">
        <f>AC126-AB126</f>
        <v>0</v>
      </c>
      <c r="AE126" s="306">
        <f t="shared" ref="AE126:AE135" si="782">AE55</f>
        <v>0</v>
      </c>
      <c r="AF126" s="307">
        <f t="shared" ref="AF126:AF135" si="783">AF55*(1+$BR$126)</f>
        <v>0</v>
      </c>
      <c r="AG126" s="257">
        <f>AF126-AE126</f>
        <v>0</v>
      </c>
      <c r="AH126" s="306">
        <f t="shared" ref="AH126:AH135" si="784">AH55</f>
        <v>0</v>
      </c>
      <c r="AI126" s="307">
        <f t="shared" ref="AI126:AI135" si="785">AI55*(1+$BR$126)</f>
        <v>0</v>
      </c>
      <c r="AJ126" s="257">
        <f>AI126-AH126</f>
        <v>0</v>
      </c>
      <c r="AK126" s="306">
        <f t="shared" ref="AK126:AK135" si="786">AK55</f>
        <v>0</v>
      </c>
      <c r="AL126" s="307">
        <f t="shared" ref="AL126:AL135" si="787">AL55*(1+$BR$126)</f>
        <v>0</v>
      </c>
      <c r="AM126" s="257">
        <f>AL126-AK126</f>
        <v>0</v>
      </c>
      <c r="AN126" s="306">
        <f>AN55</f>
        <v>0</v>
      </c>
      <c r="AO126" s="307">
        <f>AO55*(1+$BR$126)</f>
        <v>0</v>
      </c>
      <c r="AP126" s="257">
        <f>AO126-AN126</f>
        <v>0</v>
      </c>
      <c r="AQ126" s="306">
        <f>AQ55</f>
        <v>0</v>
      </c>
      <c r="AR126" s="307">
        <f>AR55*(1+$BR$126)</f>
        <v>0</v>
      </c>
      <c r="AS126" s="257">
        <f>AR126-AQ126</f>
        <v>0</v>
      </c>
      <c r="AT126" s="306">
        <f t="shared" ref="AT126:AT135" si="788">AT55</f>
        <v>0</v>
      </c>
      <c r="AU126" s="307">
        <f t="shared" ref="AU126:AU135" si="789">AU55*(1+$BR$126)</f>
        <v>0</v>
      </c>
      <c r="AV126" s="257">
        <f>AU126-AT126</f>
        <v>0</v>
      </c>
      <c r="AW126" s="306">
        <f t="shared" ref="AW126:AW135" si="790">AW55</f>
        <v>0</v>
      </c>
      <c r="AX126" s="307">
        <f t="shared" ref="AX126:AX135" si="791">AX55*(1+$BR$126)</f>
        <v>0</v>
      </c>
      <c r="AY126" s="257">
        <f>AX126-AW126</f>
        <v>0</v>
      </c>
      <c r="AZ126" s="306">
        <f t="shared" ref="AZ126:AZ135" si="792">AZ55</f>
        <v>0</v>
      </c>
      <c r="BA126" s="307">
        <f t="shared" ref="BA126:BA135" si="793">BA55*(1+$BR$126)</f>
        <v>0</v>
      </c>
      <c r="BB126" s="257">
        <f>BA126-AZ126</f>
        <v>0</v>
      </c>
      <c r="BC126" s="306">
        <f>BC55</f>
        <v>0</v>
      </c>
      <c r="BD126" s="307">
        <f>BD55*(1+$BR$126)</f>
        <v>0</v>
      </c>
      <c r="BE126" s="257">
        <f>BD126-BC126</f>
        <v>0</v>
      </c>
      <c r="BF126" s="306">
        <f>BF55</f>
        <v>0</v>
      </c>
      <c r="BG126" s="307">
        <f>BG55*(1+$BR$126)</f>
        <v>0</v>
      </c>
      <c r="BH126" s="257">
        <f>BG126-BF126</f>
        <v>0</v>
      </c>
      <c r="BI126" s="306">
        <f t="shared" ref="BI126:BI135" si="794">BI55</f>
        <v>0</v>
      </c>
      <c r="BJ126" s="307">
        <f t="shared" ref="BJ126:BJ135" si="795">BJ55*(1+$BR$126)</f>
        <v>0</v>
      </c>
      <c r="BK126" s="257">
        <f>BJ126-BI126</f>
        <v>0</v>
      </c>
      <c r="BL126" s="306">
        <f t="shared" ref="BL126:BL135" si="796">BL55</f>
        <v>0</v>
      </c>
      <c r="BM126" s="307">
        <f t="shared" ref="BM126:BM135" si="797">BM55*(1+$BR$126)</f>
        <v>0</v>
      </c>
      <c r="BN126" s="257">
        <f>BM126-BL126</f>
        <v>0</v>
      </c>
      <c r="BO126" s="306">
        <f t="shared" ref="BO126:BO135" si="798">BO55</f>
        <v>0</v>
      </c>
      <c r="BP126" s="307">
        <f t="shared" ref="BP126:BP135" si="799">BP55*(1+$BR$126)</f>
        <v>0</v>
      </c>
      <c r="BQ126" s="257">
        <f>BP126-BO126</f>
        <v>0</v>
      </c>
      <c r="BR126" s="258">
        <f>'Analyza citlivosti - AgendovéIS'!H7</f>
        <v>0</v>
      </c>
    </row>
    <row r="127" spans="1:70">
      <c r="A127" s="676"/>
      <c r="B127" s="678"/>
      <c r="C127" s="290" t="s">
        <v>26</v>
      </c>
      <c r="D127" s="291">
        <f t="shared" si="578"/>
        <v>0</v>
      </c>
      <c r="E127" s="292">
        <f t="shared" si="162"/>
        <v>0</v>
      </c>
      <c r="F127" s="293">
        <f t="shared" si="579"/>
        <v>0</v>
      </c>
      <c r="G127" s="298">
        <f t="shared" ref="G127:G135" si="800">G56</f>
        <v>0</v>
      </c>
      <c r="H127" s="299">
        <f t="shared" si="775"/>
        <v>0</v>
      </c>
      <c r="I127" s="262">
        <f t="shared" ref="I127:I135" si="801">H127-G127</f>
        <v>0</v>
      </c>
      <c r="J127" s="298">
        <f t="shared" ref="J127:J135" si="802">J56</f>
        <v>0</v>
      </c>
      <c r="K127" s="299">
        <f t="shared" ref="K127:K135" si="803">K56*(1+$BR$126)</f>
        <v>0</v>
      </c>
      <c r="L127" s="262">
        <f t="shared" ref="L127:L135" si="804">K127-J127</f>
        <v>0</v>
      </c>
      <c r="M127" s="298">
        <f t="shared" ref="M127:M135" si="805">M56</f>
        <v>0</v>
      </c>
      <c r="N127" s="299">
        <f t="shared" ref="N127:N135" si="806">N56*(1+$BR$126)</f>
        <v>0</v>
      </c>
      <c r="O127" s="262">
        <f t="shared" ref="O127:O135" si="807">N127-M127</f>
        <v>0</v>
      </c>
      <c r="P127" s="298">
        <f t="shared" si="776"/>
        <v>0</v>
      </c>
      <c r="Q127" s="299">
        <f t="shared" si="777"/>
        <v>0</v>
      </c>
      <c r="R127" s="262">
        <f t="shared" ref="R127:R135" si="808">Q127-P127</f>
        <v>0</v>
      </c>
      <c r="S127" s="298">
        <f t="shared" si="778"/>
        <v>0</v>
      </c>
      <c r="T127" s="299">
        <f t="shared" si="779"/>
        <v>0</v>
      </c>
      <c r="U127" s="262">
        <f t="shared" ref="U127:U135" si="809">T127-S127</f>
        <v>0</v>
      </c>
      <c r="V127" s="298">
        <f t="shared" si="780"/>
        <v>0</v>
      </c>
      <c r="W127" s="299">
        <f t="shared" si="781"/>
        <v>0</v>
      </c>
      <c r="X127" s="262">
        <f t="shared" ref="X127:X135" si="810">W127-V127</f>
        <v>0</v>
      </c>
      <c r="Y127" s="298">
        <f t="shared" ref="Y127:Y135" si="811">Y56</f>
        <v>0</v>
      </c>
      <c r="Z127" s="299">
        <f t="shared" ref="Z127:Z135" si="812">Z56*(1+$BR$126)</f>
        <v>0</v>
      </c>
      <c r="AA127" s="262">
        <f t="shared" ref="AA127:AA135" si="813">Z127-Y127</f>
        <v>0</v>
      </c>
      <c r="AB127" s="298">
        <f t="shared" ref="AB127:AB135" si="814">AB56</f>
        <v>0</v>
      </c>
      <c r="AC127" s="299">
        <f t="shared" ref="AC127:AC135" si="815">AC56*(1+$BR$126)</f>
        <v>0</v>
      </c>
      <c r="AD127" s="262">
        <f t="shared" ref="AD127:AD135" si="816">AC127-AB127</f>
        <v>0</v>
      </c>
      <c r="AE127" s="298">
        <f t="shared" si="782"/>
        <v>0</v>
      </c>
      <c r="AF127" s="299">
        <f t="shared" si="783"/>
        <v>0</v>
      </c>
      <c r="AG127" s="262">
        <f t="shared" ref="AG127:AG135" si="817">AF127-AE127</f>
        <v>0</v>
      </c>
      <c r="AH127" s="298">
        <f t="shared" si="784"/>
        <v>0</v>
      </c>
      <c r="AI127" s="299">
        <f t="shared" si="785"/>
        <v>0</v>
      </c>
      <c r="AJ127" s="262">
        <f t="shared" ref="AJ127:AJ135" si="818">AI127-AH127</f>
        <v>0</v>
      </c>
      <c r="AK127" s="298">
        <f t="shared" si="786"/>
        <v>0</v>
      </c>
      <c r="AL127" s="299">
        <f t="shared" si="787"/>
        <v>0</v>
      </c>
      <c r="AM127" s="262">
        <f t="shared" ref="AM127:AM135" si="819">AL127-AK127</f>
        <v>0</v>
      </c>
      <c r="AN127" s="298">
        <f t="shared" ref="AN127:AN135" si="820">AN56</f>
        <v>0</v>
      </c>
      <c r="AO127" s="299">
        <f t="shared" ref="AO127:AO135" si="821">AO56*(1+$BR$126)</f>
        <v>0</v>
      </c>
      <c r="AP127" s="262">
        <f t="shared" ref="AP127:AP135" si="822">AO127-AN127</f>
        <v>0</v>
      </c>
      <c r="AQ127" s="298">
        <f t="shared" ref="AQ127:AQ135" si="823">AQ56</f>
        <v>0</v>
      </c>
      <c r="AR127" s="299">
        <f t="shared" ref="AR127:AR135" si="824">AR56*(1+$BR$126)</f>
        <v>0</v>
      </c>
      <c r="AS127" s="262">
        <f t="shared" ref="AS127:AS135" si="825">AR127-AQ127</f>
        <v>0</v>
      </c>
      <c r="AT127" s="298">
        <f t="shared" si="788"/>
        <v>0</v>
      </c>
      <c r="AU127" s="299">
        <f t="shared" si="789"/>
        <v>0</v>
      </c>
      <c r="AV127" s="262">
        <f t="shared" ref="AV127:AV135" si="826">AU127-AT127</f>
        <v>0</v>
      </c>
      <c r="AW127" s="298">
        <f t="shared" si="790"/>
        <v>0</v>
      </c>
      <c r="AX127" s="299">
        <f t="shared" si="791"/>
        <v>0</v>
      </c>
      <c r="AY127" s="262">
        <f t="shared" ref="AY127:AY135" si="827">AX127-AW127</f>
        <v>0</v>
      </c>
      <c r="AZ127" s="298">
        <f t="shared" si="792"/>
        <v>0</v>
      </c>
      <c r="BA127" s="299">
        <f t="shared" si="793"/>
        <v>0</v>
      </c>
      <c r="BB127" s="262">
        <f t="shared" ref="BB127:BB135" si="828">BA127-AZ127</f>
        <v>0</v>
      </c>
      <c r="BC127" s="298">
        <f t="shared" ref="BC127:BC135" si="829">BC56</f>
        <v>0</v>
      </c>
      <c r="BD127" s="299">
        <f t="shared" ref="BD127:BD135" si="830">BD56*(1+$BR$126)</f>
        <v>0</v>
      </c>
      <c r="BE127" s="262">
        <f t="shared" ref="BE127:BE135" si="831">BD127-BC127</f>
        <v>0</v>
      </c>
      <c r="BF127" s="298">
        <f t="shared" ref="BF127:BF135" si="832">BF56</f>
        <v>0</v>
      </c>
      <c r="BG127" s="299">
        <f t="shared" ref="BG127:BG135" si="833">BG56*(1+$BR$126)</f>
        <v>0</v>
      </c>
      <c r="BH127" s="262">
        <f t="shared" ref="BH127:BH135" si="834">BG127-BF127</f>
        <v>0</v>
      </c>
      <c r="BI127" s="298">
        <f t="shared" si="794"/>
        <v>0</v>
      </c>
      <c r="BJ127" s="299">
        <f t="shared" si="795"/>
        <v>0</v>
      </c>
      <c r="BK127" s="262">
        <f t="shared" ref="BK127:BK135" si="835">BJ127-BI127</f>
        <v>0</v>
      </c>
      <c r="BL127" s="298">
        <f t="shared" si="796"/>
        <v>0</v>
      </c>
      <c r="BM127" s="299">
        <f t="shared" si="797"/>
        <v>0</v>
      </c>
      <c r="BN127" s="262">
        <f t="shared" ref="BN127:BN135" si="836">BM127-BL127</f>
        <v>0</v>
      </c>
      <c r="BO127" s="298">
        <f t="shared" si="798"/>
        <v>0</v>
      </c>
      <c r="BP127" s="299">
        <f t="shared" si="799"/>
        <v>0</v>
      </c>
      <c r="BQ127" s="262">
        <f t="shared" ref="BQ127:BQ135" si="837">BP127-BO127</f>
        <v>0</v>
      </c>
    </row>
    <row r="128" spans="1:70">
      <c r="A128" s="676"/>
      <c r="B128" s="678"/>
      <c r="C128" s="290" t="s">
        <v>27</v>
      </c>
      <c r="D128" s="291">
        <f t="shared" si="578"/>
        <v>0</v>
      </c>
      <c r="E128" s="292">
        <f t="shared" si="162"/>
        <v>0</v>
      </c>
      <c r="F128" s="293">
        <f t="shared" si="579"/>
        <v>0</v>
      </c>
      <c r="G128" s="298">
        <f t="shared" si="800"/>
        <v>0</v>
      </c>
      <c r="H128" s="299">
        <f t="shared" si="775"/>
        <v>0</v>
      </c>
      <c r="I128" s="262">
        <f t="shared" si="801"/>
        <v>0</v>
      </c>
      <c r="J128" s="298">
        <f t="shared" si="802"/>
        <v>0</v>
      </c>
      <c r="K128" s="299">
        <f t="shared" si="803"/>
        <v>0</v>
      </c>
      <c r="L128" s="262">
        <f t="shared" si="804"/>
        <v>0</v>
      </c>
      <c r="M128" s="298">
        <f t="shared" si="805"/>
        <v>0</v>
      </c>
      <c r="N128" s="299">
        <f t="shared" si="806"/>
        <v>0</v>
      </c>
      <c r="O128" s="262">
        <f t="shared" si="807"/>
        <v>0</v>
      </c>
      <c r="P128" s="298">
        <f t="shared" si="776"/>
        <v>0</v>
      </c>
      <c r="Q128" s="299">
        <f t="shared" si="777"/>
        <v>0</v>
      </c>
      <c r="R128" s="262">
        <f t="shared" si="808"/>
        <v>0</v>
      </c>
      <c r="S128" s="298">
        <f t="shared" si="778"/>
        <v>0</v>
      </c>
      <c r="T128" s="299">
        <f t="shared" si="779"/>
        <v>0</v>
      </c>
      <c r="U128" s="262">
        <f t="shared" si="809"/>
        <v>0</v>
      </c>
      <c r="V128" s="298">
        <f t="shared" si="780"/>
        <v>0</v>
      </c>
      <c r="W128" s="299">
        <f t="shared" si="781"/>
        <v>0</v>
      </c>
      <c r="X128" s="262">
        <f t="shared" si="810"/>
        <v>0</v>
      </c>
      <c r="Y128" s="298">
        <f t="shared" si="811"/>
        <v>0</v>
      </c>
      <c r="Z128" s="299">
        <f t="shared" si="812"/>
        <v>0</v>
      </c>
      <c r="AA128" s="262">
        <f t="shared" si="813"/>
        <v>0</v>
      </c>
      <c r="AB128" s="298">
        <f t="shared" si="814"/>
        <v>0</v>
      </c>
      <c r="AC128" s="299">
        <f t="shared" si="815"/>
        <v>0</v>
      </c>
      <c r="AD128" s="262">
        <f t="shared" si="816"/>
        <v>0</v>
      </c>
      <c r="AE128" s="298">
        <f t="shared" si="782"/>
        <v>0</v>
      </c>
      <c r="AF128" s="299">
        <f t="shared" si="783"/>
        <v>0</v>
      </c>
      <c r="AG128" s="262">
        <f t="shared" si="817"/>
        <v>0</v>
      </c>
      <c r="AH128" s="298">
        <f t="shared" si="784"/>
        <v>0</v>
      </c>
      <c r="AI128" s="299">
        <f t="shared" si="785"/>
        <v>0</v>
      </c>
      <c r="AJ128" s="262">
        <f t="shared" si="818"/>
        <v>0</v>
      </c>
      <c r="AK128" s="298">
        <f t="shared" si="786"/>
        <v>0</v>
      </c>
      <c r="AL128" s="299">
        <f t="shared" si="787"/>
        <v>0</v>
      </c>
      <c r="AM128" s="262">
        <f t="shared" si="819"/>
        <v>0</v>
      </c>
      <c r="AN128" s="298">
        <f t="shared" si="820"/>
        <v>0</v>
      </c>
      <c r="AO128" s="299">
        <f t="shared" si="821"/>
        <v>0</v>
      </c>
      <c r="AP128" s="262">
        <f t="shared" si="822"/>
        <v>0</v>
      </c>
      <c r="AQ128" s="298">
        <f t="shared" si="823"/>
        <v>0</v>
      </c>
      <c r="AR128" s="299">
        <f t="shared" si="824"/>
        <v>0</v>
      </c>
      <c r="AS128" s="262">
        <f t="shared" si="825"/>
        <v>0</v>
      </c>
      <c r="AT128" s="298">
        <f t="shared" si="788"/>
        <v>0</v>
      </c>
      <c r="AU128" s="299">
        <f t="shared" si="789"/>
        <v>0</v>
      </c>
      <c r="AV128" s="262">
        <f t="shared" si="826"/>
        <v>0</v>
      </c>
      <c r="AW128" s="298">
        <f t="shared" si="790"/>
        <v>0</v>
      </c>
      <c r="AX128" s="299">
        <f t="shared" si="791"/>
        <v>0</v>
      </c>
      <c r="AY128" s="262">
        <f t="shared" si="827"/>
        <v>0</v>
      </c>
      <c r="AZ128" s="298">
        <f t="shared" si="792"/>
        <v>0</v>
      </c>
      <c r="BA128" s="299">
        <f t="shared" si="793"/>
        <v>0</v>
      </c>
      <c r="BB128" s="262">
        <f t="shared" si="828"/>
        <v>0</v>
      </c>
      <c r="BC128" s="298">
        <f t="shared" si="829"/>
        <v>0</v>
      </c>
      <c r="BD128" s="299">
        <f t="shared" si="830"/>
        <v>0</v>
      </c>
      <c r="BE128" s="262">
        <f t="shared" si="831"/>
        <v>0</v>
      </c>
      <c r="BF128" s="298">
        <f t="shared" si="832"/>
        <v>0</v>
      </c>
      <c r="BG128" s="299">
        <f t="shared" si="833"/>
        <v>0</v>
      </c>
      <c r="BH128" s="262">
        <f t="shared" si="834"/>
        <v>0</v>
      </c>
      <c r="BI128" s="298">
        <f t="shared" si="794"/>
        <v>0</v>
      </c>
      <c r="BJ128" s="299">
        <f t="shared" si="795"/>
        <v>0</v>
      </c>
      <c r="BK128" s="262">
        <f t="shared" si="835"/>
        <v>0</v>
      </c>
      <c r="BL128" s="298">
        <f t="shared" si="796"/>
        <v>0</v>
      </c>
      <c r="BM128" s="299">
        <f t="shared" si="797"/>
        <v>0</v>
      </c>
      <c r="BN128" s="262">
        <f t="shared" si="836"/>
        <v>0</v>
      </c>
      <c r="BO128" s="298">
        <f t="shared" si="798"/>
        <v>0</v>
      </c>
      <c r="BP128" s="299">
        <f t="shared" si="799"/>
        <v>0</v>
      </c>
      <c r="BQ128" s="262">
        <f t="shared" si="837"/>
        <v>0</v>
      </c>
    </row>
    <row r="129" spans="1:69">
      <c r="A129" s="676"/>
      <c r="B129" s="678"/>
      <c r="C129" s="290" t="s">
        <v>28</v>
      </c>
      <c r="D129" s="291">
        <f t="shared" si="578"/>
        <v>0</v>
      </c>
      <c r="E129" s="292">
        <f t="shared" si="162"/>
        <v>0</v>
      </c>
      <c r="F129" s="293">
        <f t="shared" si="579"/>
        <v>0</v>
      </c>
      <c r="G129" s="298">
        <f t="shared" si="800"/>
        <v>0</v>
      </c>
      <c r="H129" s="299">
        <f t="shared" si="775"/>
        <v>0</v>
      </c>
      <c r="I129" s="262">
        <f t="shared" si="801"/>
        <v>0</v>
      </c>
      <c r="J129" s="298">
        <f t="shared" si="802"/>
        <v>0</v>
      </c>
      <c r="K129" s="299">
        <f t="shared" si="803"/>
        <v>0</v>
      </c>
      <c r="L129" s="262">
        <f t="shared" si="804"/>
        <v>0</v>
      </c>
      <c r="M129" s="298">
        <f t="shared" si="805"/>
        <v>0</v>
      </c>
      <c r="N129" s="299">
        <f t="shared" si="806"/>
        <v>0</v>
      </c>
      <c r="O129" s="262">
        <f t="shared" si="807"/>
        <v>0</v>
      </c>
      <c r="P129" s="298">
        <f t="shared" si="776"/>
        <v>0</v>
      </c>
      <c r="Q129" s="299">
        <f t="shared" si="777"/>
        <v>0</v>
      </c>
      <c r="R129" s="262">
        <f t="shared" si="808"/>
        <v>0</v>
      </c>
      <c r="S129" s="298">
        <f t="shared" si="778"/>
        <v>0</v>
      </c>
      <c r="T129" s="299">
        <f t="shared" si="779"/>
        <v>0</v>
      </c>
      <c r="U129" s="262">
        <f t="shared" si="809"/>
        <v>0</v>
      </c>
      <c r="V129" s="298">
        <f t="shared" si="780"/>
        <v>0</v>
      </c>
      <c r="W129" s="299">
        <f t="shared" si="781"/>
        <v>0</v>
      </c>
      <c r="X129" s="262">
        <f t="shared" si="810"/>
        <v>0</v>
      </c>
      <c r="Y129" s="298">
        <f t="shared" si="811"/>
        <v>0</v>
      </c>
      <c r="Z129" s="299">
        <f t="shared" si="812"/>
        <v>0</v>
      </c>
      <c r="AA129" s="262">
        <f t="shared" si="813"/>
        <v>0</v>
      </c>
      <c r="AB129" s="298">
        <f t="shared" si="814"/>
        <v>0</v>
      </c>
      <c r="AC129" s="299">
        <f t="shared" si="815"/>
        <v>0</v>
      </c>
      <c r="AD129" s="262">
        <f t="shared" si="816"/>
        <v>0</v>
      </c>
      <c r="AE129" s="298">
        <f t="shared" si="782"/>
        <v>0</v>
      </c>
      <c r="AF129" s="299">
        <f t="shared" si="783"/>
        <v>0</v>
      </c>
      <c r="AG129" s="262">
        <f t="shared" si="817"/>
        <v>0</v>
      </c>
      <c r="AH129" s="298">
        <f t="shared" si="784"/>
        <v>0</v>
      </c>
      <c r="AI129" s="299">
        <f t="shared" si="785"/>
        <v>0</v>
      </c>
      <c r="AJ129" s="262">
        <f t="shared" si="818"/>
        <v>0</v>
      </c>
      <c r="AK129" s="298">
        <f t="shared" si="786"/>
        <v>0</v>
      </c>
      <c r="AL129" s="299">
        <f t="shared" si="787"/>
        <v>0</v>
      </c>
      <c r="AM129" s="262">
        <f t="shared" si="819"/>
        <v>0</v>
      </c>
      <c r="AN129" s="298">
        <f t="shared" si="820"/>
        <v>0</v>
      </c>
      <c r="AO129" s="299">
        <f t="shared" si="821"/>
        <v>0</v>
      </c>
      <c r="AP129" s="262">
        <f t="shared" si="822"/>
        <v>0</v>
      </c>
      <c r="AQ129" s="298">
        <f t="shared" si="823"/>
        <v>0</v>
      </c>
      <c r="AR129" s="299">
        <f t="shared" si="824"/>
        <v>0</v>
      </c>
      <c r="AS129" s="262">
        <f t="shared" si="825"/>
        <v>0</v>
      </c>
      <c r="AT129" s="298">
        <f t="shared" si="788"/>
        <v>0</v>
      </c>
      <c r="AU129" s="299">
        <f t="shared" si="789"/>
        <v>0</v>
      </c>
      <c r="AV129" s="262">
        <f t="shared" si="826"/>
        <v>0</v>
      </c>
      <c r="AW129" s="298">
        <f t="shared" si="790"/>
        <v>0</v>
      </c>
      <c r="AX129" s="299">
        <f t="shared" si="791"/>
        <v>0</v>
      </c>
      <c r="AY129" s="262">
        <f t="shared" si="827"/>
        <v>0</v>
      </c>
      <c r="AZ129" s="298">
        <f t="shared" si="792"/>
        <v>0</v>
      </c>
      <c r="BA129" s="299">
        <f t="shared" si="793"/>
        <v>0</v>
      </c>
      <c r="BB129" s="262">
        <f t="shared" si="828"/>
        <v>0</v>
      </c>
      <c r="BC129" s="298">
        <f t="shared" si="829"/>
        <v>0</v>
      </c>
      <c r="BD129" s="299">
        <f t="shared" si="830"/>
        <v>0</v>
      </c>
      <c r="BE129" s="262">
        <f t="shared" si="831"/>
        <v>0</v>
      </c>
      <c r="BF129" s="298">
        <f t="shared" si="832"/>
        <v>0</v>
      </c>
      <c r="BG129" s="299">
        <f t="shared" si="833"/>
        <v>0</v>
      </c>
      <c r="BH129" s="262">
        <f t="shared" si="834"/>
        <v>0</v>
      </c>
      <c r="BI129" s="298">
        <f t="shared" si="794"/>
        <v>0</v>
      </c>
      <c r="BJ129" s="299">
        <f t="shared" si="795"/>
        <v>0</v>
      </c>
      <c r="BK129" s="262">
        <f t="shared" si="835"/>
        <v>0</v>
      </c>
      <c r="BL129" s="298">
        <f t="shared" si="796"/>
        <v>0</v>
      </c>
      <c r="BM129" s="299">
        <f t="shared" si="797"/>
        <v>0</v>
      </c>
      <c r="BN129" s="262">
        <f t="shared" si="836"/>
        <v>0</v>
      </c>
      <c r="BO129" s="298">
        <f t="shared" si="798"/>
        <v>0</v>
      </c>
      <c r="BP129" s="299">
        <f t="shared" si="799"/>
        <v>0</v>
      </c>
      <c r="BQ129" s="262">
        <f t="shared" si="837"/>
        <v>0</v>
      </c>
    </row>
    <row r="130" spans="1:69">
      <c r="A130" s="676"/>
      <c r="B130" s="678"/>
      <c r="C130" s="290" t="s">
        <v>29</v>
      </c>
      <c r="D130" s="291">
        <f t="shared" si="578"/>
        <v>0</v>
      </c>
      <c r="E130" s="292">
        <f t="shared" si="162"/>
        <v>0</v>
      </c>
      <c r="F130" s="293">
        <f t="shared" si="579"/>
        <v>0</v>
      </c>
      <c r="G130" s="298">
        <f t="shared" si="800"/>
        <v>0</v>
      </c>
      <c r="H130" s="299">
        <f t="shared" si="775"/>
        <v>0</v>
      </c>
      <c r="I130" s="262">
        <f t="shared" si="801"/>
        <v>0</v>
      </c>
      <c r="J130" s="298">
        <f t="shared" si="802"/>
        <v>0</v>
      </c>
      <c r="K130" s="299">
        <f t="shared" si="803"/>
        <v>0</v>
      </c>
      <c r="L130" s="262">
        <f t="shared" si="804"/>
        <v>0</v>
      </c>
      <c r="M130" s="298">
        <f t="shared" si="805"/>
        <v>0</v>
      </c>
      <c r="N130" s="299">
        <f t="shared" si="806"/>
        <v>0</v>
      </c>
      <c r="O130" s="262">
        <f t="shared" si="807"/>
        <v>0</v>
      </c>
      <c r="P130" s="298">
        <f t="shared" si="776"/>
        <v>0</v>
      </c>
      <c r="Q130" s="299">
        <f t="shared" si="777"/>
        <v>0</v>
      </c>
      <c r="R130" s="262">
        <f t="shared" si="808"/>
        <v>0</v>
      </c>
      <c r="S130" s="298">
        <f t="shared" si="778"/>
        <v>0</v>
      </c>
      <c r="T130" s="299">
        <f t="shared" si="779"/>
        <v>0</v>
      </c>
      <c r="U130" s="262">
        <f t="shared" si="809"/>
        <v>0</v>
      </c>
      <c r="V130" s="298">
        <f t="shared" si="780"/>
        <v>0</v>
      </c>
      <c r="W130" s="299">
        <f t="shared" si="781"/>
        <v>0</v>
      </c>
      <c r="X130" s="262">
        <f t="shared" si="810"/>
        <v>0</v>
      </c>
      <c r="Y130" s="298">
        <f t="shared" si="811"/>
        <v>0</v>
      </c>
      <c r="Z130" s="299">
        <f t="shared" si="812"/>
        <v>0</v>
      </c>
      <c r="AA130" s="262">
        <f t="shared" si="813"/>
        <v>0</v>
      </c>
      <c r="AB130" s="298">
        <f t="shared" si="814"/>
        <v>0</v>
      </c>
      <c r="AC130" s="299">
        <f t="shared" si="815"/>
        <v>0</v>
      </c>
      <c r="AD130" s="262">
        <f t="shared" si="816"/>
        <v>0</v>
      </c>
      <c r="AE130" s="298">
        <f t="shared" si="782"/>
        <v>0</v>
      </c>
      <c r="AF130" s="299">
        <f t="shared" si="783"/>
        <v>0</v>
      </c>
      <c r="AG130" s="262">
        <f t="shared" si="817"/>
        <v>0</v>
      </c>
      <c r="AH130" s="298">
        <f t="shared" si="784"/>
        <v>0</v>
      </c>
      <c r="AI130" s="299">
        <f t="shared" si="785"/>
        <v>0</v>
      </c>
      <c r="AJ130" s="262">
        <f t="shared" si="818"/>
        <v>0</v>
      </c>
      <c r="AK130" s="298">
        <f t="shared" si="786"/>
        <v>0</v>
      </c>
      <c r="AL130" s="299">
        <f t="shared" si="787"/>
        <v>0</v>
      </c>
      <c r="AM130" s="262">
        <f t="shared" si="819"/>
        <v>0</v>
      </c>
      <c r="AN130" s="298">
        <f t="shared" si="820"/>
        <v>0</v>
      </c>
      <c r="AO130" s="299">
        <f t="shared" si="821"/>
        <v>0</v>
      </c>
      <c r="AP130" s="262">
        <f t="shared" si="822"/>
        <v>0</v>
      </c>
      <c r="AQ130" s="298">
        <f t="shared" si="823"/>
        <v>0</v>
      </c>
      <c r="AR130" s="299">
        <f t="shared" si="824"/>
        <v>0</v>
      </c>
      <c r="AS130" s="262">
        <f t="shared" si="825"/>
        <v>0</v>
      </c>
      <c r="AT130" s="298">
        <f t="shared" si="788"/>
        <v>0</v>
      </c>
      <c r="AU130" s="299">
        <f t="shared" si="789"/>
        <v>0</v>
      </c>
      <c r="AV130" s="262">
        <f t="shared" si="826"/>
        <v>0</v>
      </c>
      <c r="AW130" s="298">
        <f t="shared" si="790"/>
        <v>0</v>
      </c>
      <c r="AX130" s="299">
        <f t="shared" si="791"/>
        <v>0</v>
      </c>
      <c r="AY130" s="262">
        <f t="shared" si="827"/>
        <v>0</v>
      </c>
      <c r="AZ130" s="298">
        <f t="shared" si="792"/>
        <v>0</v>
      </c>
      <c r="BA130" s="299">
        <f t="shared" si="793"/>
        <v>0</v>
      </c>
      <c r="BB130" s="262">
        <f t="shared" si="828"/>
        <v>0</v>
      </c>
      <c r="BC130" s="298">
        <f t="shared" si="829"/>
        <v>0</v>
      </c>
      <c r="BD130" s="299">
        <f t="shared" si="830"/>
        <v>0</v>
      </c>
      <c r="BE130" s="262">
        <f t="shared" si="831"/>
        <v>0</v>
      </c>
      <c r="BF130" s="298">
        <f t="shared" si="832"/>
        <v>0</v>
      </c>
      <c r="BG130" s="299">
        <f t="shared" si="833"/>
        <v>0</v>
      </c>
      <c r="BH130" s="262">
        <f t="shared" si="834"/>
        <v>0</v>
      </c>
      <c r="BI130" s="298">
        <f t="shared" si="794"/>
        <v>0</v>
      </c>
      <c r="BJ130" s="299">
        <f t="shared" si="795"/>
        <v>0</v>
      </c>
      <c r="BK130" s="262">
        <f t="shared" si="835"/>
        <v>0</v>
      </c>
      <c r="BL130" s="298">
        <f t="shared" si="796"/>
        <v>0</v>
      </c>
      <c r="BM130" s="299">
        <f t="shared" si="797"/>
        <v>0</v>
      </c>
      <c r="BN130" s="262">
        <f t="shared" si="836"/>
        <v>0</v>
      </c>
      <c r="BO130" s="298">
        <f t="shared" si="798"/>
        <v>0</v>
      </c>
      <c r="BP130" s="299">
        <f t="shared" si="799"/>
        <v>0</v>
      </c>
      <c r="BQ130" s="262">
        <f t="shared" si="837"/>
        <v>0</v>
      </c>
    </row>
    <row r="131" spans="1:69">
      <c r="A131" s="676"/>
      <c r="B131" s="678"/>
      <c r="C131" s="290" t="s">
        <v>30</v>
      </c>
      <c r="D131" s="291">
        <f t="shared" si="578"/>
        <v>0</v>
      </c>
      <c r="E131" s="292">
        <f t="shared" si="162"/>
        <v>0</v>
      </c>
      <c r="F131" s="293">
        <f t="shared" si="579"/>
        <v>0</v>
      </c>
      <c r="G131" s="298">
        <f t="shared" si="800"/>
        <v>0</v>
      </c>
      <c r="H131" s="299">
        <f t="shared" si="775"/>
        <v>0</v>
      </c>
      <c r="I131" s="262">
        <f t="shared" si="801"/>
        <v>0</v>
      </c>
      <c r="J131" s="298">
        <f t="shared" si="802"/>
        <v>0</v>
      </c>
      <c r="K131" s="299">
        <f t="shared" si="803"/>
        <v>0</v>
      </c>
      <c r="L131" s="262">
        <f t="shared" si="804"/>
        <v>0</v>
      </c>
      <c r="M131" s="298">
        <f t="shared" si="805"/>
        <v>0</v>
      </c>
      <c r="N131" s="299">
        <f t="shared" si="806"/>
        <v>0</v>
      </c>
      <c r="O131" s="262">
        <f t="shared" si="807"/>
        <v>0</v>
      </c>
      <c r="P131" s="298">
        <f t="shared" si="776"/>
        <v>0</v>
      </c>
      <c r="Q131" s="299">
        <f t="shared" si="777"/>
        <v>0</v>
      </c>
      <c r="R131" s="262">
        <f t="shared" si="808"/>
        <v>0</v>
      </c>
      <c r="S131" s="298">
        <f t="shared" si="778"/>
        <v>0</v>
      </c>
      <c r="T131" s="299">
        <f t="shared" si="779"/>
        <v>0</v>
      </c>
      <c r="U131" s="262">
        <f t="shared" si="809"/>
        <v>0</v>
      </c>
      <c r="V131" s="298">
        <f t="shared" si="780"/>
        <v>0</v>
      </c>
      <c r="W131" s="299">
        <f t="shared" si="781"/>
        <v>0</v>
      </c>
      <c r="X131" s="262">
        <f t="shared" si="810"/>
        <v>0</v>
      </c>
      <c r="Y131" s="298">
        <f t="shared" si="811"/>
        <v>0</v>
      </c>
      <c r="Z131" s="299">
        <f t="shared" si="812"/>
        <v>0</v>
      </c>
      <c r="AA131" s="262">
        <f t="shared" si="813"/>
        <v>0</v>
      </c>
      <c r="AB131" s="298">
        <f t="shared" si="814"/>
        <v>0</v>
      </c>
      <c r="AC131" s="299">
        <f t="shared" si="815"/>
        <v>0</v>
      </c>
      <c r="AD131" s="262">
        <f t="shared" si="816"/>
        <v>0</v>
      </c>
      <c r="AE131" s="298">
        <f t="shared" si="782"/>
        <v>0</v>
      </c>
      <c r="AF131" s="299">
        <f t="shared" si="783"/>
        <v>0</v>
      </c>
      <c r="AG131" s="262">
        <f t="shared" si="817"/>
        <v>0</v>
      </c>
      <c r="AH131" s="298">
        <f t="shared" si="784"/>
        <v>0</v>
      </c>
      <c r="AI131" s="299">
        <f t="shared" si="785"/>
        <v>0</v>
      </c>
      <c r="AJ131" s="262">
        <f t="shared" si="818"/>
        <v>0</v>
      </c>
      <c r="AK131" s="298">
        <f t="shared" si="786"/>
        <v>0</v>
      </c>
      <c r="AL131" s="299">
        <f t="shared" si="787"/>
        <v>0</v>
      </c>
      <c r="AM131" s="262">
        <f t="shared" si="819"/>
        <v>0</v>
      </c>
      <c r="AN131" s="298">
        <f t="shared" si="820"/>
        <v>0</v>
      </c>
      <c r="AO131" s="299">
        <f t="shared" si="821"/>
        <v>0</v>
      </c>
      <c r="AP131" s="262">
        <f t="shared" si="822"/>
        <v>0</v>
      </c>
      <c r="AQ131" s="298">
        <f t="shared" si="823"/>
        <v>0</v>
      </c>
      <c r="AR131" s="299">
        <f t="shared" si="824"/>
        <v>0</v>
      </c>
      <c r="AS131" s="262">
        <f t="shared" si="825"/>
        <v>0</v>
      </c>
      <c r="AT131" s="298">
        <f t="shared" si="788"/>
        <v>0</v>
      </c>
      <c r="AU131" s="299">
        <f t="shared" si="789"/>
        <v>0</v>
      </c>
      <c r="AV131" s="262">
        <f t="shared" si="826"/>
        <v>0</v>
      </c>
      <c r="AW131" s="298">
        <f t="shared" si="790"/>
        <v>0</v>
      </c>
      <c r="AX131" s="299">
        <f t="shared" si="791"/>
        <v>0</v>
      </c>
      <c r="AY131" s="262">
        <f t="shared" si="827"/>
        <v>0</v>
      </c>
      <c r="AZ131" s="298">
        <f t="shared" si="792"/>
        <v>0</v>
      </c>
      <c r="BA131" s="299">
        <f t="shared" si="793"/>
        <v>0</v>
      </c>
      <c r="BB131" s="262">
        <f t="shared" si="828"/>
        <v>0</v>
      </c>
      <c r="BC131" s="298">
        <f t="shared" si="829"/>
        <v>0</v>
      </c>
      <c r="BD131" s="299">
        <f t="shared" si="830"/>
        <v>0</v>
      </c>
      <c r="BE131" s="262">
        <f t="shared" si="831"/>
        <v>0</v>
      </c>
      <c r="BF131" s="298">
        <f t="shared" si="832"/>
        <v>0</v>
      </c>
      <c r="BG131" s="299">
        <f t="shared" si="833"/>
        <v>0</v>
      </c>
      <c r="BH131" s="262">
        <f t="shared" si="834"/>
        <v>0</v>
      </c>
      <c r="BI131" s="298">
        <f t="shared" si="794"/>
        <v>0</v>
      </c>
      <c r="BJ131" s="299">
        <f t="shared" si="795"/>
        <v>0</v>
      </c>
      <c r="BK131" s="262">
        <f t="shared" si="835"/>
        <v>0</v>
      </c>
      <c r="BL131" s="298">
        <f t="shared" si="796"/>
        <v>0</v>
      </c>
      <c r="BM131" s="299">
        <f t="shared" si="797"/>
        <v>0</v>
      </c>
      <c r="BN131" s="262">
        <f t="shared" si="836"/>
        <v>0</v>
      </c>
      <c r="BO131" s="298">
        <f t="shared" si="798"/>
        <v>0</v>
      </c>
      <c r="BP131" s="299">
        <f t="shared" si="799"/>
        <v>0</v>
      </c>
      <c r="BQ131" s="262">
        <f t="shared" si="837"/>
        <v>0</v>
      </c>
    </row>
    <row r="132" spans="1:69">
      <c r="A132" s="676"/>
      <c r="B132" s="678"/>
      <c r="C132" s="290" t="s">
        <v>31</v>
      </c>
      <c r="D132" s="291">
        <f t="shared" ref="D132:D135" si="838">SUM(G132,J132,M132,P132,S132,V132,Y132,AB132,AE132,AH132,AK132,AN132,AQ132,AT132,AW132,AZ132,AZ132,BC132,BF132,BI132,BL132,BO132)</f>
        <v>0</v>
      </c>
      <c r="E132" s="292">
        <f t="shared" si="162"/>
        <v>0</v>
      </c>
      <c r="F132" s="293">
        <f t="shared" si="579"/>
        <v>0</v>
      </c>
      <c r="G132" s="298">
        <f t="shared" si="800"/>
        <v>0</v>
      </c>
      <c r="H132" s="299">
        <f t="shared" si="775"/>
        <v>0</v>
      </c>
      <c r="I132" s="262">
        <f t="shared" si="801"/>
        <v>0</v>
      </c>
      <c r="J132" s="298">
        <f t="shared" si="802"/>
        <v>0</v>
      </c>
      <c r="K132" s="299">
        <f t="shared" si="803"/>
        <v>0</v>
      </c>
      <c r="L132" s="262">
        <f t="shared" si="804"/>
        <v>0</v>
      </c>
      <c r="M132" s="298">
        <f t="shared" si="805"/>
        <v>0</v>
      </c>
      <c r="N132" s="299">
        <f t="shared" si="806"/>
        <v>0</v>
      </c>
      <c r="O132" s="262">
        <f t="shared" si="807"/>
        <v>0</v>
      </c>
      <c r="P132" s="298">
        <f t="shared" si="776"/>
        <v>0</v>
      </c>
      <c r="Q132" s="299">
        <f t="shared" si="777"/>
        <v>0</v>
      </c>
      <c r="R132" s="262">
        <f t="shared" si="808"/>
        <v>0</v>
      </c>
      <c r="S132" s="298">
        <f t="shared" si="778"/>
        <v>0</v>
      </c>
      <c r="T132" s="299">
        <f t="shared" si="779"/>
        <v>0</v>
      </c>
      <c r="U132" s="262">
        <f t="shared" si="809"/>
        <v>0</v>
      </c>
      <c r="V132" s="298">
        <f t="shared" si="780"/>
        <v>0</v>
      </c>
      <c r="W132" s="299">
        <f t="shared" si="781"/>
        <v>0</v>
      </c>
      <c r="X132" s="262">
        <f t="shared" si="810"/>
        <v>0</v>
      </c>
      <c r="Y132" s="298">
        <f t="shared" si="811"/>
        <v>0</v>
      </c>
      <c r="Z132" s="299">
        <f t="shared" si="812"/>
        <v>0</v>
      </c>
      <c r="AA132" s="262">
        <f t="shared" si="813"/>
        <v>0</v>
      </c>
      <c r="AB132" s="298">
        <f t="shared" si="814"/>
        <v>0</v>
      </c>
      <c r="AC132" s="299">
        <f t="shared" si="815"/>
        <v>0</v>
      </c>
      <c r="AD132" s="262">
        <f t="shared" si="816"/>
        <v>0</v>
      </c>
      <c r="AE132" s="298">
        <f t="shared" si="782"/>
        <v>0</v>
      </c>
      <c r="AF132" s="299">
        <f t="shared" si="783"/>
        <v>0</v>
      </c>
      <c r="AG132" s="262">
        <f t="shared" si="817"/>
        <v>0</v>
      </c>
      <c r="AH132" s="298">
        <f t="shared" si="784"/>
        <v>0</v>
      </c>
      <c r="AI132" s="299">
        <f t="shared" si="785"/>
        <v>0</v>
      </c>
      <c r="AJ132" s="262">
        <f t="shared" si="818"/>
        <v>0</v>
      </c>
      <c r="AK132" s="298">
        <f t="shared" si="786"/>
        <v>0</v>
      </c>
      <c r="AL132" s="299">
        <f t="shared" si="787"/>
        <v>0</v>
      </c>
      <c r="AM132" s="262">
        <f t="shared" si="819"/>
        <v>0</v>
      </c>
      <c r="AN132" s="298">
        <f t="shared" si="820"/>
        <v>0</v>
      </c>
      <c r="AO132" s="299">
        <f t="shared" si="821"/>
        <v>0</v>
      </c>
      <c r="AP132" s="262">
        <f t="shared" si="822"/>
        <v>0</v>
      </c>
      <c r="AQ132" s="298">
        <f t="shared" si="823"/>
        <v>0</v>
      </c>
      <c r="AR132" s="299">
        <f t="shared" si="824"/>
        <v>0</v>
      </c>
      <c r="AS132" s="262">
        <f t="shared" si="825"/>
        <v>0</v>
      </c>
      <c r="AT132" s="298">
        <f t="shared" si="788"/>
        <v>0</v>
      </c>
      <c r="AU132" s="299">
        <f t="shared" si="789"/>
        <v>0</v>
      </c>
      <c r="AV132" s="262">
        <f t="shared" si="826"/>
        <v>0</v>
      </c>
      <c r="AW132" s="298">
        <f t="shared" si="790"/>
        <v>0</v>
      </c>
      <c r="AX132" s="299">
        <f t="shared" si="791"/>
        <v>0</v>
      </c>
      <c r="AY132" s="262">
        <f t="shared" si="827"/>
        <v>0</v>
      </c>
      <c r="AZ132" s="298">
        <f t="shared" si="792"/>
        <v>0</v>
      </c>
      <c r="BA132" s="299">
        <f t="shared" si="793"/>
        <v>0</v>
      </c>
      <c r="BB132" s="262">
        <f t="shared" si="828"/>
        <v>0</v>
      </c>
      <c r="BC132" s="298">
        <f t="shared" si="829"/>
        <v>0</v>
      </c>
      <c r="BD132" s="299">
        <f t="shared" si="830"/>
        <v>0</v>
      </c>
      <c r="BE132" s="262">
        <f t="shared" si="831"/>
        <v>0</v>
      </c>
      <c r="BF132" s="298">
        <f t="shared" si="832"/>
        <v>0</v>
      </c>
      <c r="BG132" s="299">
        <f t="shared" si="833"/>
        <v>0</v>
      </c>
      <c r="BH132" s="262">
        <f t="shared" si="834"/>
        <v>0</v>
      </c>
      <c r="BI132" s="298">
        <f t="shared" si="794"/>
        <v>0</v>
      </c>
      <c r="BJ132" s="299">
        <f t="shared" si="795"/>
        <v>0</v>
      </c>
      <c r="BK132" s="262">
        <f t="shared" si="835"/>
        <v>0</v>
      </c>
      <c r="BL132" s="298">
        <f t="shared" si="796"/>
        <v>0</v>
      </c>
      <c r="BM132" s="299">
        <f t="shared" si="797"/>
        <v>0</v>
      </c>
      <c r="BN132" s="262">
        <f t="shared" si="836"/>
        <v>0</v>
      </c>
      <c r="BO132" s="298">
        <f t="shared" si="798"/>
        <v>0</v>
      </c>
      <c r="BP132" s="299">
        <f t="shared" si="799"/>
        <v>0</v>
      </c>
      <c r="BQ132" s="262">
        <f t="shared" si="837"/>
        <v>0</v>
      </c>
    </row>
    <row r="133" spans="1:69">
      <c r="A133" s="676"/>
      <c r="B133" s="678"/>
      <c r="C133" s="290" t="s">
        <v>32</v>
      </c>
      <c r="D133" s="291">
        <f t="shared" si="838"/>
        <v>0</v>
      </c>
      <c r="E133" s="292">
        <f t="shared" si="162"/>
        <v>0</v>
      </c>
      <c r="F133" s="293">
        <f t="shared" si="579"/>
        <v>0</v>
      </c>
      <c r="G133" s="298">
        <f t="shared" si="800"/>
        <v>0</v>
      </c>
      <c r="H133" s="299">
        <f t="shared" si="775"/>
        <v>0</v>
      </c>
      <c r="I133" s="262">
        <f t="shared" si="801"/>
        <v>0</v>
      </c>
      <c r="J133" s="298">
        <f t="shared" si="802"/>
        <v>0</v>
      </c>
      <c r="K133" s="299">
        <f t="shared" si="803"/>
        <v>0</v>
      </c>
      <c r="L133" s="262">
        <f t="shared" si="804"/>
        <v>0</v>
      </c>
      <c r="M133" s="298">
        <f t="shared" si="805"/>
        <v>0</v>
      </c>
      <c r="N133" s="299">
        <f t="shared" si="806"/>
        <v>0</v>
      </c>
      <c r="O133" s="262">
        <f t="shared" si="807"/>
        <v>0</v>
      </c>
      <c r="P133" s="298">
        <f t="shared" si="776"/>
        <v>0</v>
      </c>
      <c r="Q133" s="299">
        <f t="shared" si="777"/>
        <v>0</v>
      </c>
      <c r="R133" s="262">
        <f t="shared" si="808"/>
        <v>0</v>
      </c>
      <c r="S133" s="298">
        <f t="shared" si="778"/>
        <v>0</v>
      </c>
      <c r="T133" s="299">
        <f t="shared" si="779"/>
        <v>0</v>
      </c>
      <c r="U133" s="262">
        <f t="shared" si="809"/>
        <v>0</v>
      </c>
      <c r="V133" s="298">
        <f t="shared" si="780"/>
        <v>0</v>
      </c>
      <c r="W133" s="299">
        <f t="shared" si="781"/>
        <v>0</v>
      </c>
      <c r="X133" s="262">
        <f t="shared" si="810"/>
        <v>0</v>
      </c>
      <c r="Y133" s="298">
        <f t="shared" si="811"/>
        <v>0</v>
      </c>
      <c r="Z133" s="299">
        <f t="shared" si="812"/>
        <v>0</v>
      </c>
      <c r="AA133" s="262">
        <f t="shared" si="813"/>
        <v>0</v>
      </c>
      <c r="AB133" s="298">
        <f t="shared" si="814"/>
        <v>0</v>
      </c>
      <c r="AC133" s="299">
        <f t="shared" si="815"/>
        <v>0</v>
      </c>
      <c r="AD133" s="262">
        <f t="shared" si="816"/>
        <v>0</v>
      </c>
      <c r="AE133" s="298">
        <f t="shared" si="782"/>
        <v>0</v>
      </c>
      <c r="AF133" s="299">
        <f t="shared" si="783"/>
        <v>0</v>
      </c>
      <c r="AG133" s="262">
        <f t="shared" si="817"/>
        <v>0</v>
      </c>
      <c r="AH133" s="298">
        <f t="shared" si="784"/>
        <v>0</v>
      </c>
      <c r="AI133" s="299">
        <f t="shared" si="785"/>
        <v>0</v>
      </c>
      <c r="AJ133" s="262">
        <f t="shared" si="818"/>
        <v>0</v>
      </c>
      <c r="AK133" s="298">
        <f t="shared" si="786"/>
        <v>0</v>
      </c>
      <c r="AL133" s="299">
        <f t="shared" si="787"/>
        <v>0</v>
      </c>
      <c r="AM133" s="262">
        <f t="shared" si="819"/>
        <v>0</v>
      </c>
      <c r="AN133" s="298">
        <f t="shared" si="820"/>
        <v>0</v>
      </c>
      <c r="AO133" s="299">
        <f t="shared" si="821"/>
        <v>0</v>
      </c>
      <c r="AP133" s="262">
        <f t="shared" si="822"/>
        <v>0</v>
      </c>
      <c r="AQ133" s="298">
        <f t="shared" si="823"/>
        <v>0</v>
      </c>
      <c r="AR133" s="299">
        <f t="shared" si="824"/>
        <v>0</v>
      </c>
      <c r="AS133" s="262">
        <f t="shared" si="825"/>
        <v>0</v>
      </c>
      <c r="AT133" s="298">
        <f t="shared" si="788"/>
        <v>0</v>
      </c>
      <c r="AU133" s="299">
        <f t="shared" si="789"/>
        <v>0</v>
      </c>
      <c r="AV133" s="262">
        <f t="shared" si="826"/>
        <v>0</v>
      </c>
      <c r="AW133" s="298">
        <f t="shared" si="790"/>
        <v>0</v>
      </c>
      <c r="AX133" s="299">
        <f t="shared" si="791"/>
        <v>0</v>
      </c>
      <c r="AY133" s="262">
        <f t="shared" si="827"/>
        <v>0</v>
      </c>
      <c r="AZ133" s="298">
        <f t="shared" si="792"/>
        <v>0</v>
      </c>
      <c r="BA133" s="299">
        <f t="shared" si="793"/>
        <v>0</v>
      </c>
      <c r="BB133" s="262">
        <f t="shared" si="828"/>
        <v>0</v>
      </c>
      <c r="BC133" s="298">
        <f t="shared" si="829"/>
        <v>0</v>
      </c>
      <c r="BD133" s="299">
        <f t="shared" si="830"/>
        <v>0</v>
      </c>
      <c r="BE133" s="262">
        <f t="shared" si="831"/>
        <v>0</v>
      </c>
      <c r="BF133" s="298">
        <f t="shared" si="832"/>
        <v>0</v>
      </c>
      <c r="BG133" s="299">
        <f t="shared" si="833"/>
        <v>0</v>
      </c>
      <c r="BH133" s="262">
        <f t="shared" si="834"/>
        <v>0</v>
      </c>
      <c r="BI133" s="298">
        <f t="shared" si="794"/>
        <v>0</v>
      </c>
      <c r="BJ133" s="299">
        <f t="shared" si="795"/>
        <v>0</v>
      </c>
      <c r="BK133" s="262">
        <f t="shared" si="835"/>
        <v>0</v>
      </c>
      <c r="BL133" s="298">
        <f t="shared" si="796"/>
        <v>0</v>
      </c>
      <c r="BM133" s="299">
        <f t="shared" si="797"/>
        <v>0</v>
      </c>
      <c r="BN133" s="262">
        <f t="shared" si="836"/>
        <v>0</v>
      </c>
      <c r="BO133" s="298">
        <f t="shared" si="798"/>
        <v>0</v>
      </c>
      <c r="BP133" s="299">
        <f t="shared" si="799"/>
        <v>0</v>
      </c>
      <c r="BQ133" s="262">
        <f t="shared" si="837"/>
        <v>0</v>
      </c>
    </row>
    <row r="134" spans="1:69">
      <c r="A134" s="676"/>
      <c r="B134" s="678"/>
      <c r="C134" s="290" t="s">
        <v>33</v>
      </c>
      <c r="D134" s="291">
        <f t="shared" si="838"/>
        <v>0</v>
      </c>
      <c r="E134" s="292">
        <f t="shared" si="162"/>
        <v>0</v>
      </c>
      <c r="F134" s="293">
        <f t="shared" si="579"/>
        <v>0</v>
      </c>
      <c r="G134" s="298">
        <f t="shared" si="800"/>
        <v>0</v>
      </c>
      <c r="H134" s="299">
        <f t="shared" si="775"/>
        <v>0</v>
      </c>
      <c r="I134" s="262">
        <f t="shared" si="801"/>
        <v>0</v>
      </c>
      <c r="J134" s="298">
        <f t="shared" si="802"/>
        <v>0</v>
      </c>
      <c r="K134" s="299">
        <f t="shared" si="803"/>
        <v>0</v>
      </c>
      <c r="L134" s="262">
        <f t="shared" si="804"/>
        <v>0</v>
      </c>
      <c r="M134" s="298">
        <f t="shared" si="805"/>
        <v>0</v>
      </c>
      <c r="N134" s="299">
        <f t="shared" si="806"/>
        <v>0</v>
      </c>
      <c r="O134" s="262">
        <f t="shared" si="807"/>
        <v>0</v>
      </c>
      <c r="P134" s="298">
        <f t="shared" si="776"/>
        <v>0</v>
      </c>
      <c r="Q134" s="299">
        <f t="shared" si="777"/>
        <v>0</v>
      </c>
      <c r="R134" s="262">
        <f t="shared" si="808"/>
        <v>0</v>
      </c>
      <c r="S134" s="298">
        <f t="shared" si="778"/>
        <v>0</v>
      </c>
      <c r="T134" s="299">
        <f t="shared" si="779"/>
        <v>0</v>
      </c>
      <c r="U134" s="262">
        <f t="shared" si="809"/>
        <v>0</v>
      </c>
      <c r="V134" s="298">
        <f t="shared" si="780"/>
        <v>0</v>
      </c>
      <c r="W134" s="299">
        <f t="shared" si="781"/>
        <v>0</v>
      </c>
      <c r="X134" s="262">
        <f t="shared" si="810"/>
        <v>0</v>
      </c>
      <c r="Y134" s="298">
        <f t="shared" si="811"/>
        <v>0</v>
      </c>
      <c r="Z134" s="299">
        <f t="shared" si="812"/>
        <v>0</v>
      </c>
      <c r="AA134" s="262">
        <f t="shared" si="813"/>
        <v>0</v>
      </c>
      <c r="AB134" s="298">
        <f t="shared" si="814"/>
        <v>0</v>
      </c>
      <c r="AC134" s="299">
        <f t="shared" si="815"/>
        <v>0</v>
      </c>
      <c r="AD134" s="262">
        <f t="shared" si="816"/>
        <v>0</v>
      </c>
      <c r="AE134" s="298">
        <f t="shared" si="782"/>
        <v>0</v>
      </c>
      <c r="AF134" s="299">
        <f t="shared" si="783"/>
        <v>0</v>
      </c>
      <c r="AG134" s="262">
        <f t="shared" si="817"/>
        <v>0</v>
      </c>
      <c r="AH134" s="298">
        <f t="shared" si="784"/>
        <v>0</v>
      </c>
      <c r="AI134" s="299">
        <f t="shared" si="785"/>
        <v>0</v>
      </c>
      <c r="AJ134" s="262">
        <f t="shared" si="818"/>
        <v>0</v>
      </c>
      <c r="AK134" s="298">
        <f t="shared" si="786"/>
        <v>0</v>
      </c>
      <c r="AL134" s="299">
        <f t="shared" si="787"/>
        <v>0</v>
      </c>
      <c r="AM134" s="262">
        <f t="shared" si="819"/>
        <v>0</v>
      </c>
      <c r="AN134" s="298">
        <f t="shared" si="820"/>
        <v>0</v>
      </c>
      <c r="AO134" s="299">
        <f t="shared" si="821"/>
        <v>0</v>
      </c>
      <c r="AP134" s="262">
        <f t="shared" si="822"/>
        <v>0</v>
      </c>
      <c r="AQ134" s="298">
        <f t="shared" si="823"/>
        <v>0</v>
      </c>
      <c r="AR134" s="299">
        <f t="shared" si="824"/>
        <v>0</v>
      </c>
      <c r="AS134" s="262">
        <f t="shared" si="825"/>
        <v>0</v>
      </c>
      <c r="AT134" s="298">
        <f t="shared" si="788"/>
        <v>0</v>
      </c>
      <c r="AU134" s="299">
        <f t="shared" si="789"/>
        <v>0</v>
      </c>
      <c r="AV134" s="262">
        <f t="shared" si="826"/>
        <v>0</v>
      </c>
      <c r="AW134" s="298">
        <f t="shared" si="790"/>
        <v>0</v>
      </c>
      <c r="AX134" s="299">
        <f t="shared" si="791"/>
        <v>0</v>
      </c>
      <c r="AY134" s="262">
        <f t="shared" si="827"/>
        <v>0</v>
      </c>
      <c r="AZ134" s="298">
        <f t="shared" si="792"/>
        <v>0</v>
      </c>
      <c r="BA134" s="299">
        <f t="shared" si="793"/>
        <v>0</v>
      </c>
      <c r="BB134" s="262">
        <f t="shared" si="828"/>
        <v>0</v>
      </c>
      <c r="BC134" s="298">
        <f t="shared" si="829"/>
        <v>0</v>
      </c>
      <c r="BD134" s="299">
        <f t="shared" si="830"/>
        <v>0</v>
      </c>
      <c r="BE134" s="262">
        <f t="shared" si="831"/>
        <v>0</v>
      </c>
      <c r="BF134" s="298">
        <f t="shared" si="832"/>
        <v>0</v>
      </c>
      <c r="BG134" s="299">
        <f t="shared" si="833"/>
        <v>0</v>
      </c>
      <c r="BH134" s="262">
        <f t="shared" si="834"/>
        <v>0</v>
      </c>
      <c r="BI134" s="298">
        <f t="shared" si="794"/>
        <v>0</v>
      </c>
      <c r="BJ134" s="299">
        <f t="shared" si="795"/>
        <v>0</v>
      </c>
      <c r="BK134" s="262">
        <f t="shared" si="835"/>
        <v>0</v>
      </c>
      <c r="BL134" s="298">
        <f t="shared" si="796"/>
        <v>0</v>
      </c>
      <c r="BM134" s="299">
        <f t="shared" si="797"/>
        <v>0</v>
      </c>
      <c r="BN134" s="262">
        <f t="shared" si="836"/>
        <v>0</v>
      </c>
      <c r="BO134" s="298">
        <f t="shared" si="798"/>
        <v>0</v>
      </c>
      <c r="BP134" s="299">
        <f t="shared" si="799"/>
        <v>0</v>
      </c>
      <c r="BQ134" s="262">
        <f t="shared" si="837"/>
        <v>0</v>
      </c>
    </row>
    <row r="135" spans="1:69" ht="15.75" thickBot="1">
      <c r="A135" s="677"/>
      <c r="B135" s="679"/>
      <c r="C135" s="300" t="s">
        <v>34</v>
      </c>
      <c r="D135" s="301">
        <f t="shared" si="838"/>
        <v>0</v>
      </c>
      <c r="E135" s="302">
        <f t="shared" si="162"/>
        <v>0</v>
      </c>
      <c r="F135" s="303">
        <f t="shared" si="579"/>
        <v>0</v>
      </c>
      <c r="G135" s="304">
        <f t="shared" si="800"/>
        <v>0</v>
      </c>
      <c r="H135" s="305">
        <f t="shared" si="775"/>
        <v>0</v>
      </c>
      <c r="I135" s="267">
        <f t="shared" si="801"/>
        <v>0</v>
      </c>
      <c r="J135" s="304">
        <f t="shared" si="802"/>
        <v>0</v>
      </c>
      <c r="K135" s="305">
        <f t="shared" si="803"/>
        <v>0</v>
      </c>
      <c r="L135" s="267">
        <f t="shared" si="804"/>
        <v>0</v>
      </c>
      <c r="M135" s="304">
        <f t="shared" si="805"/>
        <v>0</v>
      </c>
      <c r="N135" s="305">
        <f t="shared" si="806"/>
        <v>0</v>
      </c>
      <c r="O135" s="267">
        <f t="shared" si="807"/>
        <v>0</v>
      </c>
      <c r="P135" s="304">
        <f t="shared" si="776"/>
        <v>0</v>
      </c>
      <c r="Q135" s="305">
        <f t="shared" si="777"/>
        <v>0</v>
      </c>
      <c r="R135" s="267">
        <f t="shared" si="808"/>
        <v>0</v>
      </c>
      <c r="S135" s="304">
        <f t="shared" si="778"/>
        <v>0</v>
      </c>
      <c r="T135" s="305">
        <f t="shared" si="779"/>
        <v>0</v>
      </c>
      <c r="U135" s="267">
        <f t="shared" si="809"/>
        <v>0</v>
      </c>
      <c r="V135" s="304">
        <f t="shared" si="780"/>
        <v>0</v>
      </c>
      <c r="W135" s="305">
        <f t="shared" si="781"/>
        <v>0</v>
      </c>
      <c r="X135" s="267">
        <f t="shared" si="810"/>
        <v>0</v>
      </c>
      <c r="Y135" s="304">
        <f t="shared" si="811"/>
        <v>0</v>
      </c>
      <c r="Z135" s="305">
        <f t="shared" si="812"/>
        <v>0</v>
      </c>
      <c r="AA135" s="267">
        <f t="shared" si="813"/>
        <v>0</v>
      </c>
      <c r="AB135" s="304">
        <f t="shared" si="814"/>
        <v>0</v>
      </c>
      <c r="AC135" s="305">
        <f t="shared" si="815"/>
        <v>0</v>
      </c>
      <c r="AD135" s="267">
        <f t="shared" si="816"/>
        <v>0</v>
      </c>
      <c r="AE135" s="304">
        <f t="shared" si="782"/>
        <v>0</v>
      </c>
      <c r="AF135" s="305">
        <f t="shared" si="783"/>
        <v>0</v>
      </c>
      <c r="AG135" s="267">
        <f t="shared" si="817"/>
        <v>0</v>
      </c>
      <c r="AH135" s="304">
        <f t="shared" si="784"/>
        <v>0</v>
      </c>
      <c r="AI135" s="305">
        <f t="shared" si="785"/>
        <v>0</v>
      </c>
      <c r="AJ135" s="267">
        <f t="shared" si="818"/>
        <v>0</v>
      </c>
      <c r="AK135" s="304">
        <f t="shared" si="786"/>
        <v>0</v>
      </c>
      <c r="AL135" s="305">
        <f t="shared" si="787"/>
        <v>0</v>
      </c>
      <c r="AM135" s="267">
        <f t="shared" si="819"/>
        <v>0</v>
      </c>
      <c r="AN135" s="304">
        <f t="shared" si="820"/>
        <v>0</v>
      </c>
      <c r="AO135" s="305">
        <f t="shared" si="821"/>
        <v>0</v>
      </c>
      <c r="AP135" s="267">
        <f t="shared" si="822"/>
        <v>0</v>
      </c>
      <c r="AQ135" s="304">
        <f t="shared" si="823"/>
        <v>0</v>
      </c>
      <c r="AR135" s="305">
        <f t="shared" si="824"/>
        <v>0</v>
      </c>
      <c r="AS135" s="267">
        <f t="shared" si="825"/>
        <v>0</v>
      </c>
      <c r="AT135" s="304">
        <f t="shared" si="788"/>
        <v>0</v>
      </c>
      <c r="AU135" s="305">
        <f t="shared" si="789"/>
        <v>0</v>
      </c>
      <c r="AV135" s="267">
        <f t="shared" si="826"/>
        <v>0</v>
      </c>
      <c r="AW135" s="304">
        <f t="shared" si="790"/>
        <v>0</v>
      </c>
      <c r="AX135" s="305">
        <f t="shared" si="791"/>
        <v>0</v>
      </c>
      <c r="AY135" s="267">
        <f t="shared" si="827"/>
        <v>0</v>
      </c>
      <c r="AZ135" s="304">
        <f t="shared" si="792"/>
        <v>0</v>
      </c>
      <c r="BA135" s="305">
        <f t="shared" si="793"/>
        <v>0</v>
      </c>
      <c r="BB135" s="267">
        <f t="shared" si="828"/>
        <v>0</v>
      </c>
      <c r="BC135" s="304">
        <f t="shared" si="829"/>
        <v>0</v>
      </c>
      <c r="BD135" s="305">
        <f t="shared" si="830"/>
        <v>0</v>
      </c>
      <c r="BE135" s="267">
        <f t="shared" si="831"/>
        <v>0</v>
      </c>
      <c r="BF135" s="304">
        <f t="shared" si="832"/>
        <v>0</v>
      </c>
      <c r="BG135" s="305">
        <f t="shared" si="833"/>
        <v>0</v>
      </c>
      <c r="BH135" s="267">
        <f t="shared" si="834"/>
        <v>0</v>
      </c>
      <c r="BI135" s="304">
        <f t="shared" si="794"/>
        <v>0</v>
      </c>
      <c r="BJ135" s="305">
        <f t="shared" si="795"/>
        <v>0</v>
      </c>
      <c r="BK135" s="267">
        <f t="shared" si="835"/>
        <v>0</v>
      </c>
      <c r="BL135" s="304">
        <f t="shared" si="796"/>
        <v>0</v>
      </c>
      <c r="BM135" s="305">
        <f t="shared" si="797"/>
        <v>0</v>
      </c>
      <c r="BN135" s="267">
        <f t="shared" si="836"/>
        <v>0</v>
      </c>
      <c r="BO135" s="304">
        <f t="shared" si="798"/>
        <v>0</v>
      </c>
      <c r="BP135" s="305">
        <f t="shared" si="799"/>
        <v>0</v>
      </c>
      <c r="BQ135" s="267">
        <f t="shared" si="837"/>
        <v>0</v>
      </c>
    </row>
  </sheetData>
  <sheetProtection insertColumns="0" deleteColumns="0"/>
  <mergeCells count="71">
    <mergeCell ref="A25:A34"/>
    <mergeCell ref="B25:B34"/>
    <mergeCell ref="A35:A44"/>
    <mergeCell ref="B35:B44"/>
    <mergeCell ref="A55:A64"/>
    <mergeCell ref="B55:B64"/>
    <mergeCell ref="A45:A54"/>
    <mergeCell ref="B45:B54"/>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BO3:BQ3"/>
    <mergeCell ref="BL2:BN2"/>
    <mergeCell ref="BO2:BQ2"/>
    <mergeCell ref="BC2:BE2"/>
    <mergeCell ref="BC3:BE3"/>
    <mergeCell ref="BF2:BH2"/>
    <mergeCell ref="BF3:BH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P3:R3"/>
    <mergeCell ref="S3:U3"/>
    <mergeCell ref="V3:X3"/>
    <mergeCell ref="Y3:AA3"/>
    <mergeCell ref="AB3:AD3"/>
    <mergeCell ref="AE3:AG3"/>
    <mergeCell ref="AH3:AJ3"/>
    <mergeCell ref="AK3:AM3"/>
    <mergeCell ref="V2:X2"/>
    <mergeCell ref="Y2:AA2"/>
  </mergeCells>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24">
    <tabColor rgb="FFFFC000"/>
  </sheetPr>
  <dimension ref="A1:O23"/>
  <sheetViews>
    <sheetView topLeftCell="A7" zoomScale="145" zoomScaleNormal="145" workbookViewId="0">
      <selection activeCell="B3" sqref="B3:B22"/>
    </sheetView>
  </sheetViews>
  <sheetFormatPr defaultColWidth="8.85546875" defaultRowHeight="12.75"/>
  <cols>
    <col min="1" max="1" width="8.85546875" style="401"/>
    <col min="2" max="2" width="20.42578125" style="401" bestFit="1" customWidth="1"/>
    <col min="3" max="13" width="10.140625" style="401" customWidth="1"/>
    <col min="14" max="14" width="11" style="401" customWidth="1"/>
    <col min="15" max="15" width="15.28515625" style="401" customWidth="1"/>
    <col min="16" max="16384" width="8.85546875" style="401"/>
  </cols>
  <sheetData>
    <row r="1" spans="1:15">
      <c r="J1" s="500">
        <f>SUM(J3:J23)</f>
        <v>11665</v>
      </c>
      <c r="O1" s="500">
        <f>EXTERNE_POZICIE!K1</f>
        <v>11315</v>
      </c>
    </row>
    <row r="2" spans="1:15" s="483" customFormat="1" ht="38.25">
      <c r="A2" s="485" t="s">
        <v>271</v>
      </c>
      <c r="B2" s="484" t="s">
        <v>294</v>
      </c>
      <c r="C2" s="484" t="s">
        <v>325</v>
      </c>
      <c r="D2" s="484" t="s">
        <v>326</v>
      </c>
      <c r="E2" s="484" t="s">
        <v>327</v>
      </c>
      <c r="F2" s="484" t="s">
        <v>340</v>
      </c>
      <c r="G2" s="484" t="s">
        <v>267</v>
      </c>
      <c r="H2" s="484" t="s">
        <v>293</v>
      </c>
      <c r="I2" s="484" t="s">
        <v>339</v>
      </c>
      <c r="J2" s="484" t="s">
        <v>729</v>
      </c>
      <c r="K2" s="484" t="s">
        <v>421</v>
      </c>
      <c r="L2" s="484" t="s">
        <v>295</v>
      </c>
      <c r="M2" s="484" t="s">
        <v>422</v>
      </c>
      <c r="N2" s="484" t="s">
        <v>751</v>
      </c>
      <c r="O2" s="484" t="s">
        <v>759</v>
      </c>
    </row>
    <row r="3" spans="1:15" ht="25.5">
      <c r="A3" s="406" t="s">
        <v>272</v>
      </c>
      <c r="B3" s="657" t="s">
        <v>898</v>
      </c>
      <c r="C3" s="403">
        <f>IF(ISBLANK(B3),"",TCF_v02!$B$2)</f>
        <v>0.99</v>
      </c>
      <c r="D3" s="403">
        <f>IF(ISBLANK(B3),"",ECF_v02!$B$2)</f>
        <v>0.99499999999999988</v>
      </c>
      <c r="E3" s="403">
        <f>IFERROR(VLOOKUP(B3,UAW_v02!A6:B26,2,0),"")</f>
        <v>27</v>
      </c>
      <c r="F3" s="404">
        <v>30</v>
      </c>
      <c r="G3" s="404" t="s">
        <v>296</v>
      </c>
      <c r="H3" s="403">
        <f>IFERROR(YEAR(VLOOKUP(G3,INKREMENTY!$A$2:$F$21,4,0)),"")</f>
        <v>2027</v>
      </c>
      <c r="I3" s="402">
        <f>IFERROR(VLOOKUP(G3,INKREMENTY!$A$2:$F$21,6,0),"")</f>
        <v>1</v>
      </c>
      <c r="J3" s="630">
        <f>IFERROR(ROUND((SUMIF(KATALOG_POZIADAVKY!$G$3:$G$298,MODULY_CBA!B3,KATALOG_POZIADAVKY!$P$3:$P$298)/8),0),"")</f>
        <v>1825</v>
      </c>
      <c r="K3" s="421">
        <v>0.05</v>
      </c>
      <c r="L3" s="421">
        <v>0.12</v>
      </c>
      <c r="M3" s="421">
        <v>0.08</v>
      </c>
      <c r="N3" s="499">
        <v>3</v>
      </c>
      <c r="O3" s="499">
        <f>IFERROR($O$1*J3/$J$1,"")</f>
        <v>1770.2421774539221</v>
      </c>
    </row>
    <row r="4" spans="1:15" ht="25.5">
      <c r="A4" s="406" t="s">
        <v>273</v>
      </c>
      <c r="B4" s="657" t="s">
        <v>943</v>
      </c>
      <c r="C4" s="403">
        <f>IF(ISBLANK(B4),"",TCF_v02!$B$2)</f>
        <v>0.99</v>
      </c>
      <c r="D4" s="403">
        <f>IF(ISBLANK(B4),"",ECF_v02!$B$2)</f>
        <v>0.99499999999999988</v>
      </c>
      <c r="E4" s="403">
        <f>IFERROR(VLOOKUP(B4,UAW_v02!A7:B27,2,0),"")</f>
        <v>27</v>
      </c>
      <c r="F4" s="404">
        <v>30</v>
      </c>
      <c r="G4" s="404" t="s">
        <v>296</v>
      </c>
      <c r="H4" s="403">
        <f>IFERROR(YEAR(VLOOKUP(G4,INKREMENTY!$A$2:$F$21,4,0)),"")</f>
        <v>2027</v>
      </c>
      <c r="I4" s="402">
        <f>IFERROR(VLOOKUP(G4,INKREMENTY!$A$2:$F$21,6,0),"")</f>
        <v>1</v>
      </c>
      <c r="J4" s="630">
        <f>IFERROR(ROUND((SUMIF(KATALOG_POZIADAVKY!$G$3:$G$298,MODULY_CBA!B4,KATALOG_POZIADAVKY!$P$3:$P$298)/8),0),"")</f>
        <v>395</v>
      </c>
      <c r="K4" s="421">
        <v>0.05</v>
      </c>
      <c r="L4" s="421">
        <v>0.12</v>
      </c>
      <c r="M4" s="421">
        <v>0.08</v>
      </c>
      <c r="N4" s="499">
        <v>3</v>
      </c>
      <c r="O4" s="499">
        <f t="shared" ref="O4:O19" si="0">IFERROR($O$1*J4/$J$1,"")</f>
        <v>383.14830690098586</v>
      </c>
    </row>
    <row r="5" spans="1:15" ht="38.25">
      <c r="A5" s="406" t="s">
        <v>274</v>
      </c>
      <c r="B5" s="657" t="s">
        <v>960</v>
      </c>
      <c r="C5" s="403">
        <f>IF(ISBLANK(B5),"",TCF_v02!$B$2)</f>
        <v>0.99</v>
      </c>
      <c r="D5" s="403">
        <f>IF(ISBLANK(B5),"",ECF_v02!$B$2)</f>
        <v>0.99499999999999988</v>
      </c>
      <c r="E5" s="403">
        <f>IFERROR(VLOOKUP(B5,UAW_v02!A8:B28,2,0),"")</f>
        <v>27</v>
      </c>
      <c r="F5" s="404">
        <v>30</v>
      </c>
      <c r="G5" s="404" t="s">
        <v>296</v>
      </c>
      <c r="H5" s="403">
        <f>IFERROR(YEAR(VLOOKUP(G5,INKREMENTY!$A$2:$F$21,4,0)),"")</f>
        <v>2027</v>
      </c>
      <c r="I5" s="402">
        <f>IFERROR(VLOOKUP(G5,INKREMENTY!$A$2:$F$21,6,0),"")</f>
        <v>1</v>
      </c>
      <c r="J5" s="630">
        <f>IFERROR(ROUND((SUMIF(KATALOG_POZIADAVKY!$G$3:$G$298,MODULY_CBA!B5,KATALOG_POZIADAVKY!$P$3:$P$298)/8),0),"")</f>
        <v>543</v>
      </c>
      <c r="K5" s="421">
        <v>0.05</v>
      </c>
      <c r="L5" s="421">
        <v>0.12</v>
      </c>
      <c r="M5" s="421">
        <v>0.08</v>
      </c>
      <c r="N5" s="499">
        <v>3</v>
      </c>
      <c r="O5" s="499">
        <f t="shared" si="0"/>
        <v>526.70767252464634</v>
      </c>
    </row>
    <row r="6" spans="1:15" ht="38.25">
      <c r="A6" s="406" t="s">
        <v>275</v>
      </c>
      <c r="B6" s="657" t="s">
        <v>1054</v>
      </c>
      <c r="C6" s="403">
        <f>IF(ISBLANK(B6),"",TCF_v02!$B$2)</f>
        <v>0.99</v>
      </c>
      <c r="D6" s="403">
        <f>IF(ISBLANK(B6),"",ECF_v02!$B$2)</f>
        <v>0.99499999999999988</v>
      </c>
      <c r="E6" s="403">
        <f>IFERROR(VLOOKUP(B6,UAW_v02!A9:B29,2,0),"")</f>
        <v>0</v>
      </c>
      <c r="F6" s="404">
        <v>30</v>
      </c>
      <c r="G6" s="404" t="s">
        <v>296</v>
      </c>
      <c r="H6" s="403">
        <f>IFERROR(YEAR(VLOOKUP(G6,INKREMENTY!$A$2:$F$21,4,0)),"")</f>
        <v>2027</v>
      </c>
      <c r="I6" s="402">
        <f>IFERROR(VLOOKUP(G6,INKREMENTY!$A$2:$F$21,6,0),"")</f>
        <v>1</v>
      </c>
      <c r="J6" s="630">
        <f>IFERROR(ROUND((SUMIF(KATALOG_POZIADAVKY!$G$3:$G$298,MODULY_CBA!B6,KATALOG_POZIADAVKY!$P$3:$P$298)/8),0),"")</f>
        <v>702</v>
      </c>
      <c r="K6" s="421">
        <v>0.05</v>
      </c>
      <c r="L6" s="421">
        <v>0.12</v>
      </c>
      <c r="M6" s="421">
        <v>0.08</v>
      </c>
      <c r="N6" s="499">
        <v>3</v>
      </c>
      <c r="O6" s="499">
        <f t="shared" si="0"/>
        <v>680.93699099871412</v>
      </c>
    </row>
    <row r="7" spans="1:15" ht="38.25">
      <c r="A7" s="406" t="s">
        <v>276</v>
      </c>
      <c r="B7" s="657" t="s">
        <v>1307</v>
      </c>
      <c r="C7" s="403">
        <f>IF(ISBLANK(B7),"",TCF_v02!$B$2)</f>
        <v>0.99</v>
      </c>
      <c r="D7" s="403">
        <f>IF(ISBLANK(B7),"",ECF_v02!$B$2)</f>
        <v>0.99499999999999988</v>
      </c>
      <c r="E7" s="403">
        <f>IFERROR(VLOOKUP(B7,UAW_v02!A10:B30,2,0),"")</f>
        <v>0</v>
      </c>
      <c r="F7" s="404">
        <v>30</v>
      </c>
      <c r="G7" s="404" t="s">
        <v>297</v>
      </c>
      <c r="H7" s="403">
        <f>IFERROR(YEAR(VLOOKUP(G7,INKREMENTY!$A$2:$F$21,4,0)),"")</f>
        <v>2028</v>
      </c>
      <c r="I7" s="402">
        <f>IFERROR(VLOOKUP(G7,INKREMENTY!$A$2:$F$21,6,0),"")</f>
        <v>2</v>
      </c>
      <c r="J7" s="630">
        <f>IFERROR(ROUND((SUMIF(KATALOG_POZIADAVKY!$G$3:$G$298,MODULY_CBA!B7,KATALOG_POZIADAVKY!$P$3:$P$298)/8),0),"")</f>
        <v>185</v>
      </c>
      <c r="K7" s="421">
        <v>0.05</v>
      </c>
      <c r="L7" s="421">
        <v>0.12</v>
      </c>
      <c r="M7" s="421">
        <v>0.08</v>
      </c>
      <c r="N7" s="499">
        <v>3</v>
      </c>
      <c r="O7" s="499">
        <f t="shared" si="0"/>
        <v>179.44920702957566</v>
      </c>
    </row>
    <row r="8" spans="1:15" ht="38.25">
      <c r="A8" s="406" t="s">
        <v>277</v>
      </c>
      <c r="B8" s="657" t="s">
        <v>1308</v>
      </c>
      <c r="C8" s="403">
        <f>IF(ISBLANK(B8),"",TCF_v02!$B$2)</f>
        <v>0.99</v>
      </c>
      <c r="D8" s="403">
        <f>IF(ISBLANK(B8),"",ECF_v02!$B$2)</f>
        <v>0.99499999999999988</v>
      </c>
      <c r="E8" s="403">
        <f>IFERROR(VLOOKUP(B8,UAW_v02!A11:B31,2,0),"")</f>
        <v>0</v>
      </c>
      <c r="F8" s="404">
        <v>30</v>
      </c>
      <c r="G8" s="404" t="s">
        <v>297</v>
      </c>
      <c r="H8" s="403">
        <f>IFERROR(YEAR(VLOOKUP(G8,INKREMENTY!$A$2:$F$21,4,0)),"")</f>
        <v>2028</v>
      </c>
      <c r="I8" s="402">
        <f>IFERROR(VLOOKUP(G8,INKREMENTY!$A$2:$F$21,6,0),"")</f>
        <v>2</v>
      </c>
      <c r="J8" s="630">
        <f>IFERROR(ROUND((SUMIF(KATALOG_POZIADAVKY!$G$3:$G$298,MODULY_CBA!B8,KATALOG_POZIADAVKY!$P$3:$P$298)/8),0),"")</f>
        <v>406</v>
      </c>
      <c r="K8" s="421">
        <v>0.05</v>
      </c>
      <c r="L8" s="421">
        <v>0.12</v>
      </c>
      <c r="M8" s="421">
        <v>0.08</v>
      </c>
      <c r="N8" s="499">
        <v>3</v>
      </c>
      <c r="O8" s="499">
        <f t="shared" si="0"/>
        <v>393.81825975139304</v>
      </c>
    </row>
    <row r="9" spans="1:15" ht="38.25">
      <c r="A9" s="406" t="s">
        <v>278</v>
      </c>
      <c r="B9" s="657" t="s">
        <v>1309</v>
      </c>
      <c r="C9" s="403">
        <f>IF(ISBLANK(B9),"",TCF_v02!$B$2)</f>
        <v>0.99</v>
      </c>
      <c r="D9" s="403">
        <f>IF(ISBLANK(B9),"",ECF_v02!$B$2)</f>
        <v>0.99499999999999988</v>
      </c>
      <c r="E9" s="403">
        <f>IFERROR(VLOOKUP(B9,UAW_v02!A12:B32,2,0),"")</f>
        <v>0</v>
      </c>
      <c r="F9" s="404">
        <v>30</v>
      </c>
      <c r="G9" s="404" t="s">
        <v>297</v>
      </c>
      <c r="H9" s="403">
        <f>IFERROR(YEAR(VLOOKUP(G9,INKREMENTY!$A$2:$F$21,4,0)),"")</f>
        <v>2028</v>
      </c>
      <c r="I9" s="402">
        <f>IFERROR(VLOOKUP(G9,INKREMENTY!$A$2:$F$21,6,0),"")</f>
        <v>2</v>
      </c>
      <c r="J9" s="630">
        <f>IFERROR(ROUND((SUMIF(KATALOG_POZIADAVKY!$G$3:$G$298,MODULY_CBA!B9,KATALOG_POZIADAVKY!$P$3:$P$298)/8),0),"")</f>
        <v>850</v>
      </c>
      <c r="K9" s="421">
        <v>0.05</v>
      </c>
      <c r="L9" s="421">
        <v>0.12</v>
      </c>
      <c r="M9" s="421">
        <v>0.08</v>
      </c>
      <c r="N9" s="499">
        <v>3</v>
      </c>
      <c r="O9" s="499">
        <f t="shared" si="0"/>
        <v>824.49635662237461</v>
      </c>
    </row>
    <row r="10" spans="1:15" ht="38.25">
      <c r="A10" s="406" t="s">
        <v>279</v>
      </c>
      <c r="B10" s="657" t="s">
        <v>1310</v>
      </c>
      <c r="C10" s="403">
        <f>IF(ISBLANK(B10),"",TCF_v02!$B$2)</f>
        <v>0.99</v>
      </c>
      <c r="D10" s="403">
        <f>IF(ISBLANK(B10),"",ECF_v02!$B$2)</f>
        <v>0.99499999999999988</v>
      </c>
      <c r="E10" s="403">
        <f>IFERROR(VLOOKUP(B10,UAW_v02!A13:B33,2,0),"")</f>
        <v>0</v>
      </c>
      <c r="F10" s="404">
        <v>30</v>
      </c>
      <c r="G10" s="404" t="s">
        <v>297</v>
      </c>
      <c r="H10" s="403">
        <f>IFERROR(YEAR(VLOOKUP(G10,INKREMENTY!$A$2:$F$21,4,0)),"")</f>
        <v>2028</v>
      </c>
      <c r="I10" s="402">
        <f>IFERROR(VLOOKUP(G10,INKREMENTY!$A$2:$F$21,6,0),"")</f>
        <v>2</v>
      </c>
      <c r="J10" s="630">
        <f>IFERROR(ROUND((SUMIF(KATALOG_POZIADAVKY!$G$3:$G$298,MODULY_CBA!B10,KATALOG_POZIADAVKY!$P$3:$P$298)/8),0),"")</f>
        <v>997</v>
      </c>
      <c r="K10" s="421">
        <v>0.05</v>
      </c>
      <c r="L10" s="421">
        <v>0.12</v>
      </c>
      <c r="M10" s="421">
        <v>0.08</v>
      </c>
      <c r="N10" s="499">
        <v>3</v>
      </c>
      <c r="O10" s="499">
        <f t="shared" si="0"/>
        <v>967.08572653236172</v>
      </c>
    </row>
    <row r="11" spans="1:15" ht="38.25">
      <c r="A11" s="406" t="s">
        <v>280</v>
      </c>
      <c r="B11" s="657" t="s">
        <v>1311</v>
      </c>
      <c r="C11" s="403">
        <f>IF(ISBLANK(B11),"",TCF_v02!$B$2)</f>
        <v>0.99</v>
      </c>
      <c r="D11" s="403">
        <f>IF(ISBLANK(B11),"",ECF_v02!$B$2)</f>
        <v>0.99499999999999988</v>
      </c>
      <c r="E11" s="403">
        <f>IFERROR(VLOOKUP(B11,UAW_v02!A14:B34,2,0),"")</f>
        <v>0</v>
      </c>
      <c r="F11" s="404">
        <v>30</v>
      </c>
      <c r="G11" s="404" t="s">
        <v>297</v>
      </c>
      <c r="H11" s="403">
        <f>IFERROR(YEAR(VLOOKUP(G11,INKREMENTY!$A$2:$F$21,4,0)),"")</f>
        <v>2028</v>
      </c>
      <c r="I11" s="402">
        <f>IFERROR(VLOOKUP(G11,INKREMENTY!$A$2:$F$21,6,0),"")</f>
        <v>2</v>
      </c>
      <c r="J11" s="630">
        <f>IFERROR(ROUND((SUMIF(KATALOG_POZIADAVKY!$G$3:$G$298,MODULY_CBA!B11,KATALOG_POZIADAVKY!$P$3:$P$298)/8),0),"")</f>
        <v>443</v>
      </c>
      <c r="K11" s="421">
        <v>0.05</v>
      </c>
      <c r="L11" s="421">
        <v>0.12</v>
      </c>
      <c r="M11" s="421">
        <v>0.08</v>
      </c>
      <c r="N11" s="499">
        <v>3</v>
      </c>
      <c r="O11" s="499">
        <f t="shared" si="0"/>
        <v>429.70810115730819</v>
      </c>
    </row>
    <row r="12" spans="1:15" ht="25.5">
      <c r="A12" s="406" t="s">
        <v>281</v>
      </c>
      <c r="B12" s="657" t="s">
        <v>1312</v>
      </c>
      <c r="C12" s="403">
        <f>IF(ISBLANK(B12),"",TCF_v02!$B$2)</f>
        <v>0.99</v>
      </c>
      <c r="D12" s="403">
        <f>IF(ISBLANK(B12),"",ECF_v02!$B$2)</f>
        <v>0.99499999999999988</v>
      </c>
      <c r="E12" s="403">
        <f>IFERROR(VLOOKUP(B12,UAW_v02!A15:B35,2,0),"")</f>
        <v>0</v>
      </c>
      <c r="F12" s="404">
        <v>30</v>
      </c>
      <c r="G12" s="404" t="s">
        <v>298</v>
      </c>
      <c r="H12" s="403">
        <f>IFERROR(YEAR(VLOOKUP(G12,INKREMENTY!$A$2:$F$21,4,0)),"")</f>
        <v>2028</v>
      </c>
      <c r="I12" s="402">
        <f>IFERROR(VLOOKUP(G12,INKREMENTY!$A$2:$F$21,6,0),"")</f>
        <v>3</v>
      </c>
      <c r="J12" s="630">
        <f>IFERROR(ROUND((SUMIF(KATALOG_POZIADAVKY!$G$3:$G$298,MODULY_CBA!B12,KATALOG_POZIADAVKY!$P$3:$P$298)/8),0),"")</f>
        <v>665</v>
      </c>
      <c r="K12" s="421">
        <v>0.05</v>
      </c>
      <c r="L12" s="421">
        <v>0.12</v>
      </c>
      <c r="M12" s="421">
        <v>0.08</v>
      </c>
      <c r="N12" s="499">
        <v>3</v>
      </c>
      <c r="O12" s="499">
        <f t="shared" si="0"/>
        <v>645.04714959279897</v>
      </c>
    </row>
    <row r="13" spans="1:15" ht="38.25">
      <c r="A13" s="406" t="s">
        <v>282</v>
      </c>
      <c r="B13" s="657" t="s">
        <v>1315</v>
      </c>
      <c r="C13" s="403">
        <f>IF(ISBLANK(B13),"",TCF_v02!$B$2)</f>
        <v>0.99</v>
      </c>
      <c r="D13" s="403">
        <f>IF(ISBLANK(B13),"",ECF_v02!$B$2)</f>
        <v>0.99499999999999988</v>
      </c>
      <c r="E13" s="403">
        <f>IFERROR(VLOOKUP(B13,UAW_v02!A16:B36,2,0),"")</f>
        <v>0</v>
      </c>
      <c r="F13" s="404">
        <v>30</v>
      </c>
      <c r="G13" s="404" t="s">
        <v>298</v>
      </c>
      <c r="H13" s="403">
        <f>IFERROR(YEAR(VLOOKUP(G13,INKREMENTY!$A$2:$F$21,4,0)),"")</f>
        <v>2028</v>
      </c>
      <c r="I13" s="402">
        <f>IFERROR(VLOOKUP(G13,INKREMENTY!$A$2:$F$21,6,0),"")</f>
        <v>3</v>
      </c>
      <c r="J13" s="630">
        <f>IFERROR(ROUND((SUMIF(KATALOG_POZIADAVKY!$G$3:$G$298,MODULY_CBA!B13,KATALOG_POZIADAVKY!$P$3:$P$298)/8),0),"")</f>
        <v>517</v>
      </c>
      <c r="K13" s="421">
        <v>0.05</v>
      </c>
      <c r="L13" s="421">
        <v>0.12</v>
      </c>
      <c r="M13" s="421">
        <v>0.08</v>
      </c>
      <c r="N13" s="499">
        <v>3</v>
      </c>
      <c r="O13" s="499">
        <f t="shared" si="0"/>
        <v>501.48778396913843</v>
      </c>
    </row>
    <row r="14" spans="1:15" ht="38.25">
      <c r="A14" s="406" t="s">
        <v>283</v>
      </c>
      <c r="B14" s="657" t="s">
        <v>1316</v>
      </c>
      <c r="C14" s="403">
        <f>IF(ISBLANK(B14),"",TCF_v02!$B$2)</f>
        <v>0.99</v>
      </c>
      <c r="D14" s="403">
        <f>IF(ISBLANK(B14),"",ECF_v02!$B$2)</f>
        <v>0.99499999999999988</v>
      </c>
      <c r="E14" s="403">
        <f>IFERROR(VLOOKUP(B14,UAW_v02!A17:B37,2,0),"")</f>
        <v>0</v>
      </c>
      <c r="F14" s="404">
        <v>30</v>
      </c>
      <c r="G14" s="404" t="s">
        <v>298</v>
      </c>
      <c r="H14" s="403">
        <f>IFERROR(YEAR(VLOOKUP(G14,INKREMENTY!$A$2:$F$21,4,0)),"")</f>
        <v>2028</v>
      </c>
      <c r="I14" s="402">
        <f>IFERROR(VLOOKUP(G14,INKREMENTY!$A$2:$F$21,6,0),"")</f>
        <v>3</v>
      </c>
      <c r="J14" s="630">
        <f>IFERROR(ROUND((SUMIF(KATALOG_POZIADAVKY!$G$3:$G$298,MODULY_CBA!B14,KATALOG_POZIADAVKY!$P$3:$P$298)/8),0),"")</f>
        <v>369</v>
      </c>
      <c r="K14" s="421">
        <v>0.05</v>
      </c>
      <c r="L14" s="421">
        <v>0.12</v>
      </c>
      <c r="M14" s="421">
        <v>0.08</v>
      </c>
      <c r="N14" s="499">
        <v>3</v>
      </c>
      <c r="O14" s="499">
        <f>IFERROR($O$1*J14/$J$1,"")</f>
        <v>357.92841834547795</v>
      </c>
    </row>
    <row r="15" spans="1:15" ht="38.25">
      <c r="A15" s="406" t="s">
        <v>284</v>
      </c>
      <c r="B15" s="657" t="s">
        <v>1317</v>
      </c>
      <c r="C15" s="403">
        <f>IF(ISBLANK(B15),"",TCF_v02!$B$2)</f>
        <v>0.99</v>
      </c>
      <c r="D15" s="403">
        <f>IF(ISBLANK(B15),"",ECF_v02!$B$2)</f>
        <v>0.99499999999999988</v>
      </c>
      <c r="E15" s="403">
        <f>IFERROR(VLOOKUP(B15,UAW_v02!A18:B38,2,0),"")</f>
        <v>0</v>
      </c>
      <c r="F15" s="404">
        <v>30</v>
      </c>
      <c r="G15" s="404" t="s">
        <v>298</v>
      </c>
      <c r="H15" s="403">
        <f>IFERROR(YEAR(VLOOKUP(G15,INKREMENTY!$A$2:$F$21,4,0)),"")</f>
        <v>2028</v>
      </c>
      <c r="I15" s="402">
        <f>IFERROR(VLOOKUP(G15,INKREMENTY!$A$2:$F$21,6,0),"")</f>
        <v>3</v>
      </c>
      <c r="J15" s="630">
        <f>IFERROR(ROUND((SUMIF(KATALOG_POZIADAVKY!$G$3:$G$298,MODULY_CBA!B15,KATALOG_POZIADAVKY!$P$3:$P$298)/8),0),"")</f>
        <v>369</v>
      </c>
      <c r="K15" s="421">
        <v>0.05</v>
      </c>
      <c r="L15" s="421">
        <v>0.12</v>
      </c>
      <c r="M15" s="421">
        <v>0.08</v>
      </c>
      <c r="N15" s="499"/>
      <c r="O15" s="499">
        <f t="shared" si="0"/>
        <v>357.92841834547795</v>
      </c>
    </row>
    <row r="16" spans="1:15" ht="25.5">
      <c r="A16" s="406" t="s">
        <v>285</v>
      </c>
      <c r="B16" s="657" t="s">
        <v>1318</v>
      </c>
      <c r="C16" s="403">
        <f>IF(ISBLANK(B16),"",TCF_v02!$B$2)</f>
        <v>0.99</v>
      </c>
      <c r="D16" s="403">
        <f>IF(ISBLANK(B16),"",ECF_v02!$B$2)</f>
        <v>0.99499999999999988</v>
      </c>
      <c r="E16" s="403">
        <f>IFERROR(VLOOKUP(B16,UAW_v02!A19:B39,2,0),"")</f>
        <v>0</v>
      </c>
      <c r="F16" s="404">
        <v>30</v>
      </c>
      <c r="G16" s="404" t="s">
        <v>298</v>
      </c>
      <c r="H16" s="403">
        <f>IFERROR(YEAR(VLOOKUP(G16,INKREMENTY!$A$2:$F$21,4,0)),"")</f>
        <v>2028</v>
      </c>
      <c r="I16" s="402">
        <f>IFERROR(VLOOKUP(G16,INKREMENTY!$A$2:$F$21,6,0),"")</f>
        <v>3</v>
      </c>
      <c r="J16" s="630">
        <f>IFERROR(ROUND((SUMIF(KATALOG_POZIADAVKY!$G$3:$G$298,MODULY_CBA!B16,KATALOG_POZIADAVKY!$P$3:$P$298)/8),0),"")</f>
        <v>554</v>
      </c>
      <c r="K16" s="421">
        <v>0.05</v>
      </c>
      <c r="L16" s="421">
        <v>0.12</v>
      </c>
      <c r="M16" s="421">
        <v>0.08</v>
      </c>
      <c r="N16" s="499"/>
      <c r="O16" s="499">
        <f t="shared" si="0"/>
        <v>537.37762537505353</v>
      </c>
    </row>
    <row r="17" spans="1:15" ht="25.5">
      <c r="A17" s="406" t="s">
        <v>286</v>
      </c>
      <c r="B17" s="657" t="s">
        <v>1319</v>
      </c>
      <c r="C17" s="403">
        <f>IF(ISBLANK(B17),"",TCF_v02!$B$2)</f>
        <v>0.99</v>
      </c>
      <c r="D17" s="403">
        <f>IF(ISBLANK(B17),"",ECF_v02!$B$2)</f>
        <v>0.99499999999999988</v>
      </c>
      <c r="E17" s="403">
        <f>IFERROR(VLOOKUP(B17,UAW_v02!A20:B40,2,0),"")</f>
        <v>0</v>
      </c>
      <c r="F17" s="404">
        <v>30</v>
      </c>
      <c r="G17" s="404" t="s">
        <v>298</v>
      </c>
      <c r="H17" s="403">
        <f>IFERROR(YEAR(VLOOKUP(G17,INKREMENTY!$A$2:$F$21,4,0)),"")</f>
        <v>2028</v>
      </c>
      <c r="I17" s="402">
        <f>IFERROR(VLOOKUP(G17,INKREMENTY!$A$2:$F$21,6,0),"")</f>
        <v>3</v>
      </c>
      <c r="J17" s="630">
        <f>IFERROR(ROUND((SUMIF(KATALOG_POZIADAVKY!$G$3:$G$298,MODULY_CBA!B17,KATALOG_POZIADAVKY!$P$3:$P$298)/8),0),"")</f>
        <v>628</v>
      </c>
      <c r="K17" s="421">
        <v>0.05</v>
      </c>
      <c r="L17" s="421">
        <v>0.12</v>
      </c>
      <c r="M17" s="421">
        <v>0.08</v>
      </c>
      <c r="N17" s="499"/>
      <c r="O17" s="499">
        <f t="shared" si="0"/>
        <v>609.15730818688382</v>
      </c>
    </row>
    <row r="18" spans="1:15" ht="25.5">
      <c r="A18" s="406" t="s">
        <v>287</v>
      </c>
      <c r="B18" s="657" t="s">
        <v>1320</v>
      </c>
      <c r="C18" s="403">
        <f>IF(ISBLANK(B18),"",TCF_v02!$B$2)</f>
        <v>0.99</v>
      </c>
      <c r="D18" s="403">
        <f>IF(ISBLANK(B18),"",ECF_v02!$B$2)</f>
        <v>0.99499999999999988</v>
      </c>
      <c r="E18" s="403">
        <f>IFERROR(VLOOKUP(B18,UAW_v02!A21:B41,2,0),"")</f>
        <v>0</v>
      </c>
      <c r="F18" s="404">
        <v>30</v>
      </c>
      <c r="G18" s="404" t="s">
        <v>298</v>
      </c>
      <c r="H18" s="403">
        <f>IFERROR(YEAR(VLOOKUP(G18,INKREMENTY!$A$2:$F$21,4,0)),"")</f>
        <v>2028</v>
      </c>
      <c r="I18" s="402">
        <f>IFERROR(VLOOKUP(G18,INKREMENTY!$A$2:$F$21,6,0),"")</f>
        <v>3</v>
      </c>
      <c r="J18" s="630">
        <f>IFERROR(ROUND((SUMIF(KATALOG_POZIADAVKY!$G$3:$G$298,MODULY_CBA!B18,KATALOG_POZIADAVKY!$P$3:$P$298)/8),0),"")</f>
        <v>591</v>
      </c>
      <c r="K18" s="421">
        <v>0.05</v>
      </c>
      <c r="L18" s="421">
        <v>0.12</v>
      </c>
      <c r="M18" s="421">
        <v>0.08</v>
      </c>
      <c r="N18" s="499"/>
      <c r="O18" s="499">
        <f t="shared" si="0"/>
        <v>573.26746678096868</v>
      </c>
    </row>
    <row r="19" spans="1:15" ht="38.25">
      <c r="A19" s="406" t="s">
        <v>288</v>
      </c>
      <c r="B19" s="657" t="s">
        <v>1321</v>
      </c>
      <c r="C19" s="403">
        <f>IF(ISBLANK(B19),"",TCF_v02!$B$2)</f>
        <v>0.99</v>
      </c>
      <c r="D19" s="403">
        <f>IF(ISBLANK(B19),"",ECF_v02!$B$2)</f>
        <v>0.99499999999999988</v>
      </c>
      <c r="E19" s="403">
        <f>IFERROR(VLOOKUP(B19,UAW_v02!A22:B42,2,0),"")</f>
        <v>0</v>
      </c>
      <c r="F19" s="404">
        <v>30</v>
      </c>
      <c r="G19" s="404" t="s">
        <v>298</v>
      </c>
      <c r="H19" s="403">
        <f>IFERROR(YEAR(VLOOKUP(G19,INKREMENTY!$A$2:$F$21,4,0)),"")</f>
        <v>2028</v>
      </c>
      <c r="I19" s="402">
        <f>IFERROR(VLOOKUP(G19,INKREMENTY!$A$2:$F$21,6,0),"")</f>
        <v>3</v>
      </c>
      <c r="J19" s="630">
        <f>IFERROR(ROUND((SUMIF(KATALOG_POZIADAVKY!$G$3:$G$298,MODULY_CBA!B19,KATALOG_POZIADAVKY!$P$3:$P$298)/8),0),"")</f>
        <v>296</v>
      </c>
      <c r="K19" s="421">
        <v>0.05</v>
      </c>
      <c r="L19" s="421">
        <v>0.12</v>
      </c>
      <c r="M19" s="421">
        <v>0.08</v>
      </c>
      <c r="N19" s="499"/>
      <c r="O19" s="499">
        <f t="shared" si="0"/>
        <v>287.11873124732102</v>
      </c>
    </row>
    <row r="20" spans="1:15" ht="38.25">
      <c r="A20" s="406" t="s">
        <v>289</v>
      </c>
      <c r="B20" s="657" t="s">
        <v>1322</v>
      </c>
      <c r="C20" s="403">
        <f>IF(ISBLANK(B20),"",TCF_v02!$B$2)</f>
        <v>0.99</v>
      </c>
      <c r="D20" s="403">
        <f>IF(ISBLANK(B20),"",ECF_v02!$B$2)</f>
        <v>0.99499999999999988</v>
      </c>
      <c r="E20" s="403">
        <f>IFERROR(VLOOKUP(B20,UAW_v02!A23:B43,2,0),"")</f>
        <v>0</v>
      </c>
      <c r="F20" s="404">
        <v>30</v>
      </c>
      <c r="G20" s="404" t="s">
        <v>298</v>
      </c>
      <c r="H20" s="403">
        <f>IFERROR(YEAR(VLOOKUP(G20,INKREMENTY!$A$2:$F$21,4,0)),"")</f>
        <v>2028</v>
      </c>
      <c r="I20" s="402">
        <f>IFERROR(VLOOKUP(G20,INKREMENTY!$A$2:$F$21,6,0),"")</f>
        <v>3</v>
      </c>
      <c r="J20" s="630">
        <f>IFERROR(ROUND((SUMIF(KATALOG_POZIADAVKY!$G$3:$G$298,MODULY_CBA!B20,KATALOG_POZIADAVKY!$P$3:$P$298)/8),0),"")</f>
        <v>517</v>
      </c>
      <c r="K20" s="421">
        <v>0.05</v>
      </c>
      <c r="L20" s="421">
        <v>0.12</v>
      </c>
      <c r="M20" s="421">
        <v>0.08</v>
      </c>
      <c r="N20" s="499"/>
      <c r="O20" s="499">
        <f t="shared" ref="O20:O23" si="1">IFERROR($O$1*J20/$J$1,"")</f>
        <v>501.48778396913843</v>
      </c>
    </row>
    <row r="21" spans="1:15" ht="25.5">
      <c r="A21" s="406" t="s">
        <v>290</v>
      </c>
      <c r="B21" s="657" t="s">
        <v>839</v>
      </c>
      <c r="C21" s="403">
        <f>IF(ISBLANK(B21),"",TCF_v02!$B$2)</f>
        <v>0.99</v>
      </c>
      <c r="D21" s="403">
        <f>IF(ISBLANK(B21),"",ECF_v02!$B$2)</f>
        <v>0.99499999999999988</v>
      </c>
      <c r="E21" s="403">
        <f>IFERROR(VLOOKUP(B21,UAW_v02!A24:B44,2,0),"")</f>
        <v>0</v>
      </c>
      <c r="F21" s="404">
        <v>30</v>
      </c>
      <c r="G21" s="404" t="s">
        <v>298</v>
      </c>
      <c r="H21" s="403">
        <f>IFERROR(YEAR(VLOOKUP(G21,INKREMENTY!$A$2:$F$21,4,0)),"")</f>
        <v>2028</v>
      </c>
      <c r="I21" s="402">
        <f>IFERROR(VLOOKUP(G21,INKREMENTY!$A$2:$F$21,6,0),"")</f>
        <v>3</v>
      </c>
      <c r="J21" s="630">
        <f>IFERROR(ROUND((SUMIF(KATALOG_POZIADAVKY!$G$3:$G$298,MODULY_CBA!B21,KATALOG_POZIADAVKY!$P$3:$P$298)/8),0),"")</f>
        <v>591</v>
      </c>
      <c r="K21" s="421">
        <v>0.05</v>
      </c>
      <c r="L21" s="421">
        <v>0.12</v>
      </c>
      <c r="M21" s="421">
        <v>0.08</v>
      </c>
      <c r="N21" s="499"/>
      <c r="O21" s="499">
        <f t="shared" si="1"/>
        <v>573.26746678096868</v>
      </c>
    </row>
    <row r="22" spans="1:15" ht="25.5">
      <c r="A22" s="406" t="s">
        <v>291</v>
      </c>
      <c r="B22" s="657" t="s">
        <v>1323</v>
      </c>
      <c r="C22" s="403">
        <f>IF(ISBLANK(B22),"",TCF_v02!$B$2)</f>
        <v>0.99</v>
      </c>
      <c r="D22" s="403">
        <f>IF(ISBLANK(B22),"",ECF_v02!$B$2)</f>
        <v>0.99499999999999988</v>
      </c>
      <c r="E22" s="403">
        <f>IFERROR(VLOOKUP(B22,UAW_v02!A25:B45,2,0),"")</f>
        <v>0</v>
      </c>
      <c r="F22" s="404">
        <v>30</v>
      </c>
      <c r="G22" s="404" t="s">
        <v>298</v>
      </c>
      <c r="H22" s="403">
        <f>IFERROR(YEAR(VLOOKUP(G22,INKREMENTY!$A$2:$F$21,4,0)),"")</f>
        <v>2028</v>
      </c>
      <c r="I22" s="402">
        <f>IFERROR(VLOOKUP(G22,INKREMENTY!$A$2:$F$21,6,0),"")</f>
        <v>3</v>
      </c>
      <c r="J22" s="630">
        <f>IFERROR(ROUND((SUMIF(KATALOG_POZIADAVKY!$G$3:$G$298,MODULY_CBA!B22,KATALOG_POZIADAVKY!$P$3:$P$298)/8),0),"")</f>
        <v>222</v>
      </c>
      <c r="K22" s="421">
        <v>0.05</v>
      </c>
      <c r="L22" s="421">
        <v>0.12</v>
      </c>
      <c r="M22" s="421">
        <v>0.08</v>
      </c>
      <c r="N22" s="499"/>
      <c r="O22" s="499">
        <f t="shared" si="1"/>
        <v>215.33904843549078</v>
      </c>
    </row>
    <row r="23" spans="1:15">
      <c r="A23" s="406" t="s">
        <v>292</v>
      </c>
      <c r="B23" s="405"/>
      <c r="C23" s="403" t="str">
        <f>IF(ISBLANK(B23),"",TCF_v02!$B$2)</f>
        <v/>
      </c>
      <c r="D23" s="403" t="str">
        <f>IF(ISBLANK(B23),"",ECF_v02!$B$2)</f>
        <v/>
      </c>
      <c r="E23" s="403" t="str">
        <f>IFERROR(VLOOKUP(B23,UAW_v02!A26:B46,2,0),"")</f>
        <v/>
      </c>
      <c r="F23" s="404"/>
      <c r="G23" s="404"/>
      <c r="H23" s="403" t="str">
        <f>IFERROR(YEAR(VLOOKUP(G23,INKREMENTY!$A$2:$F$21,4,0)),"")</f>
        <v/>
      </c>
      <c r="I23" s="402" t="str">
        <f>IFERROR(VLOOKUP(G23,INKREMENTY!$A$2:$F$21,6,0),"")</f>
        <v/>
      </c>
      <c r="J23" s="630">
        <f>IFERROR(ROUND((SUMIF(KATALOG_POZIADAVKY!$G$3:$G$298,MODULY_CBA!B23,KATALOG_POZIADAVKY!$P$3:$P$298)/8),0),"")</f>
        <v>0</v>
      </c>
      <c r="K23" s="421">
        <v>0.05</v>
      </c>
      <c r="L23" s="421">
        <v>0.12</v>
      </c>
      <c r="M23" s="421">
        <v>0.08</v>
      </c>
      <c r="N23" s="499"/>
      <c r="O23" s="499">
        <f t="shared" si="1"/>
        <v>0</v>
      </c>
    </row>
  </sheetData>
  <phoneticPr fontId="58" type="noConversion"/>
  <conditionalFormatting sqref="K3:K23">
    <cfRule type="cellIs" dxfId="20" priority="1" operator="greaterThan">
      <formula>0.1</formula>
    </cfRule>
  </conditionalFormatting>
  <dataValidations count="2">
    <dataValidation type="list" allowBlank="1" showInputMessage="1" showErrorMessage="1" sqref="G3:G23" xr:uid="{00000000-0002-0000-0800-000000000000}">
      <formula1>Inkrement</formula1>
    </dataValidation>
    <dataValidation type="list" allowBlank="1" showInputMessage="1" showErrorMessage="1" sqref="F3:F23" xr:uid="{00000000-0002-0000-0800-000001000000}">
      <formula1>"15,20,25,30"</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757EA113336F04487B47B858267A60B" ma:contentTypeVersion="4" ma:contentTypeDescription="Umožňuje vytvoriť nový dokument." ma:contentTypeScope="" ma:versionID="8304634b2033061a996eb4376595b766">
  <xsd:schema xmlns:xsd="http://www.w3.org/2001/XMLSchema" xmlns:xs="http://www.w3.org/2001/XMLSchema" xmlns:p="http://schemas.microsoft.com/office/2006/metadata/properties" xmlns:ns2="0010fa83-1e5e-4ed3-b51d-f6630765356b" targetNamespace="http://schemas.microsoft.com/office/2006/metadata/properties" ma:root="true" ma:fieldsID="fbd9b5d0301b1705547f181571717aa7" ns2:_="">
    <xsd:import namespace="0010fa83-1e5e-4ed3-b51d-f663076535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10fa83-1e5e-4ed3-b51d-f66307653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02A636-662E-4B25-9CB8-78B9EBE4C410}"/>
</file>

<file path=customXml/itemProps2.xml><?xml version="1.0" encoding="utf-8"?>
<ds:datastoreItem xmlns:ds="http://schemas.openxmlformats.org/officeDocument/2006/customXml" ds:itemID="{31E5B439-EEB2-4BC6-BDEB-7B66018C35E6}"/>
</file>

<file path=customXml/itemProps3.xml><?xml version="1.0" encoding="utf-8"?>
<ds:datastoreItem xmlns:ds="http://schemas.openxmlformats.org/officeDocument/2006/customXml" ds:itemID="{9C706E5E-F62B-4712-BABF-8004A50696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23</vt:i4>
      </vt:variant>
    </vt:vector>
  </HeadingPairs>
  <TitlesOfParts>
    <vt:vector size="56" baseType="lpstr">
      <vt:lpstr>Úvod</vt:lpstr>
      <vt:lpstr>Zoznam_Harkov</vt:lpstr>
      <vt:lpstr>Sumarizácia</vt:lpstr>
      <vt:lpstr>Zdroje Financovania</vt:lpstr>
      <vt:lpstr>CBA - Agendové IS</vt:lpstr>
      <vt:lpstr>Výdavky - Agendové IS</vt:lpstr>
      <vt:lpstr>Prínosy - Agendové IS</vt:lpstr>
      <vt:lpstr>Parametre - Agendové IS</vt:lpstr>
      <vt:lpstr>MODULY_CBA</vt:lpstr>
      <vt:lpstr>Parametre_ECF_TCF</vt:lpstr>
      <vt:lpstr>INKREMENTY</vt:lpstr>
      <vt:lpstr>KATALOG_POZIADAVKY</vt:lpstr>
      <vt:lpstr>TCF_v02</vt:lpstr>
      <vt:lpstr>ECF_v02</vt:lpstr>
      <vt:lpstr>UAW_v02</vt:lpstr>
      <vt:lpstr>EXTERNE_POZICIE</vt:lpstr>
      <vt:lpstr>POZICIE_INTERNE</vt:lpstr>
      <vt:lpstr>Rozpocet - Vyvoj aplikacii</vt:lpstr>
      <vt:lpstr>ISCO_Prevodnik</vt:lpstr>
      <vt:lpstr>Rozpočet - HW a licencie</vt:lpstr>
      <vt:lpstr>Harmonogram</vt:lpstr>
      <vt:lpstr>TCO</vt:lpstr>
      <vt:lpstr>TCO AS IS - SW</vt:lpstr>
      <vt:lpstr>TCO AS IS - HW</vt:lpstr>
      <vt:lpstr>TCO TO BE- SW</vt:lpstr>
      <vt:lpstr>TCO TO BE - HW</vt:lpstr>
      <vt:lpstr>Faktory</vt:lpstr>
      <vt:lpstr>Ciselnik</vt:lpstr>
      <vt:lpstr>Procesné mapy</vt:lpstr>
      <vt:lpstr>Procesy - AS IS</vt:lpstr>
      <vt:lpstr>Procesy - TO BE</vt:lpstr>
      <vt:lpstr>Analyza citlivosti - AgendovéIS</vt:lpstr>
      <vt:lpstr>Rozdelenie prínosov</vt:lpstr>
      <vt:lpstr>'TCO TO BE - HW'!_ftn1</vt:lpstr>
      <vt:lpstr>'TCO TO BE - HW'!_ftnref1</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dc:creator>
  <cp:keywords/>
  <dc:description/>
  <cp:lastModifiedBy>W Riter</cp:lastModifiedBy>
  <cp:lastPrinted>2021-02-09T11:03:13Z</cp:lastPrinted>
  <dcterms:created xsi:type="dcterms:W3CDTF">2015-01-29T13:50:20Z</dcterms:created>
  <dcterms:modified xsi:type="dcterms:W3CDTF">2026-02-17T23:08:21Z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0x010100A757EA113336F04487B47B858267A60B</vt:lpwstr>
  </property>
</Properties>
</file>